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dro\Desktop\Rules\Scrapjacks\"/>
    </mc:Choice>
  </mc:AlternateContent>
  <xr:revisionPtr revIDLastSave="0" documentId="13_ncr:1_{ACF730F8-67CC-461E-898E-F79694B50173}" xr6:coauthVersionLast="47" xr6:coauthVersionMax="47" xr10:uidLastSave="{00000000-0000-0000-0000-000000000000}"/>
  <bookViews>
    <workbookView xWindow="-120" yWindow="-120" windowWidth="29040" windowHeight="15720" activeTab="3" xr2:uid="{A2F3A800-A760-4C61-9CD3-272F6409E679}"/>
  </bookViews>
  <sheets>
    <sheet name="Data" sheetId="1" r:id="rId1"/>
    <sheet name="Crew" sheetId="2" r:id="rId2"/>
    <sheet name="Droids" sheetId="3" r:id="rId3"/>
    <sheet name="Ship Tracke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4" l="1"/>
  <c r="D16" i="4"/>
  <c r="D17" i="4"/>
  <c r="D18" i="4"/>
  <c r="D19" i="4"/>
  <c r="D20" i="4"/>
  <c r="D21" i="4"/>
  <c r="D22" i="4"/>
  <c r="D23" i="4"/>
  <c r="D24" i="4"/>
  <c r="D25" i="4"/>
  <c r="D14" i="4"/>
  <c r="N26" i="4"/>
  <c r="P3" i="4" s="1"/>
  <c r="J26" i="4"/>
  <c r="F8" i="4"/>
  <c r="E8" i="4"/>
  <c r="D8" i="4"/>
  <c r="C8" i="4"/>
  <c r="C7" i="4"/>
  <c r="C6" i="4"/>
  <c r="C5" i="4"/>
  <c r="C4" i="4"/>
  <c r="D3" i="4"/>
  <c r="B9" i="4"/>
  <c r="F3" i="4"/>
  <c r="E3" i="4"/>
  <c r="C137" i="2"/>
  <c r="C136" i="2"/>
  <c r="C135" i="2"/>
  <c r="C134" i="2"/>
  <c r="C133" i="2"/>
  <c r="C132" i="2"/>
  <c r="D131" i="2"/>
  <c r="D130" i="2"/>
  <c r="D129" i="2"/>
  <c r="D128" i="2"/>
  <c r="C128" i="2"/>
  <c r="D127" i="2"/>
  <c r="D126" i="2"/>
  <c r="D125" i="2"/>
  <c r="D124" i="2"/>
  <c r="D123" i="2"/>
  <c r="D122" i="2"/>
  <c r="D121" i="2"/>
  <c r="D120" i="2"/>
  <c r="C120" i="2"/>
  <c r="E118" i="2"/>
  <c r="C114" i="2"/>
  <c r="C113" i="2"/>
  <c r="C112" i="2"/>
  <c r="C111" i="2"/>
  <c r="C110" i="2"/>
  <c r="C109" i="2"/>
  <c r="D108" i="2"/>
  <c r="D107" i="2"/>
  <c r="D106" i="2"/>
  <c r="D105" i="2"/>
  <c r="C105" i="2"/>
  <c r="D104" i="2"/>
  <c r="D103" i="2"/>
  <c r="D102" i="2"/>
  <c r="D101" i="2"/>
  <c r="D100" i="2"/>
  <c r="D99" i="2"/>
  <c r="D98" i="2"/>
  <c r="D97" i="2"/>
  <c r="C97" i="2"/>
  <c r="E95" i="2"/>
  <c r="C91" i="2"/>
  <c r="C90" i="2"/>
  <c r="C89" i="2"/>
  <c r="C88" i="2"/>
  <c r="C87" i="2"/>
  <c r="C86" i="2"/>
  <c r="D85" i="2"/>
  <c r="D84" i="2"/>
  <c r="D83" i="2"/>
  <c r="D82" i="2"/>
  <c r="C82" i="2"/>
  <c r="D81" i="2"/>
  <c r="D80" i="2"/>
  <c r="D79" i="2"/>
  <c r="D78" i="2"/>
  <c r="D77" i="2"/>
  <c r="D76" i="2"/>
  <c r="D75" i="2"/>
  <c r="D74" i="2"/>
  <c r="C74" i="2"/>
  <c r="E72" i="2"/>
  <c r="C68" i="2"/>
  <c r="C67" i="2"/>
  <c r="C66" i="2"/>
  <c r="C65" i="2"/>
  <c r="C64" i="2"/>
  <c r="C63" i="2"/>
  <c r="D62" i="2"/>
  <c r="D61" i="2"/>
  <c r="D60" i="2"/>
  <c r="D59" i="2"/>
  <c r="C59" i="2"/>
  <c r="D58" i="2"/>
  <c r="D57" i="2"/>
  <c r="D56" i="2"/>
  <c r="D55" i="2"/>
  <c r="D54" i="2"/>
  <c r="D53" i="2"/>
  <c r="D52" i="2"/>
  <c r="D51" i="2"/>
  <c r="C51" i="2"/>
  <c r="E49" i="2"/>
  <c r="C45" i="2"/>
  <c r="C44" i="2"/>
  <c r="C43" i="2"/>
  <c r="C42" i="2"/>
  <c r="C41" i="2"/>
  <c r="C40" i="2"/>
  <c r="D39" i="2"/>
  <c r="D38" i="2"/>
  <c r="D37" i="2"/>
  <c r="D36" i="2"/>
  <c r="C36" i="2"/>
  <c r="D35" i="2"/>
  <c r="D34" i="2"/>
  <c r="D33" i="2"/>
  <c r="D32" i="2"/>
  <c r="D31" i="2"/>
  <c r="D30" i="2"/>
  <c r="D29" i="2"/>
  <c r="D28" i="2"/>
  <c r="C28" i="2"/>
  <c r="E26" i="2"/>
  <c r="E3" i="2"/>
  <c r="D7" i="2"/>
  <c r="D5" i="2"/>
  <c r="C5" i="2"/>
  <c r="C22" i="2"/>
  <c r="C21" i="2"/>
  <c r="C20" i="2"/>
  <c r="C19" i="2"/>
  <c r="C18" i="2"/>
  <c r="C17" i="2"/>
  <c r="D12" i="2"/>
  <c r="D16" i="2"/>
  <c r="D14" i="2"/>
  <c r="C13" i="2"/>
  <c r="D13" i="2"/>
  <c r="D15" i="2"/>
  <c r="D11" i="2"/>
  <c r="D10" i="2"/>
  <c r="D9" i="2"/>
  <c r="D8" i="2"/>
  <c r="D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Sandro Teixeira</author>
  </authors>
  <commentList>
    <comment ref="D2" authorId="0" shapeId="0" xr:uid="{57D959EE-6331-4F1F-A1C4-1F7EF5C15CDF}">
      <text>
        <r>
          <rPr>
            <b/>
            <sz val="9"/>
            <color indexed="81"/>
            <rFont val="Tahoma"/>
            <charset val="1"/>
          </rPr>
          <t>Select your ship class here.</t>
        </r>
      </text>
    </comment>
    <comment ref="E4" authorId="0" shapeId="0" xr:uid="{94841BBD-EFC1-44DB-8297-9714CFDEDE5D}">
      <text>
        <r>
          <rPr>
            <b/>
            <sz val="9"/>
            <color indexed="81"/>
            <rFont val="Tahoma"/>
            <family val="2"/>
          </rPr>
          <t xml:space="preserve">At 3, incur an Audit:
ROUTINE REVIEW (1-2) 
</t>
        </r>
        <r>
          <rPr>
            <sz val="9"/>
            <color indexed="81"/>
            <rFont val="Tahoma"/>
            <family val="2"/>
          </rPr>
          <t xml:space="preserve">Paperwork. Interviews. Quiet warnings. 
• Lose 1D4 Salvage 
• Next job: –1 Aircharge at start 
• Clear all Traces
</t>
        </r>
        <r>
          <rPr>
            <b/>
            <sz val="9"/>
            <color indexed="81"/>
            <rFont val="Tahoma"/>
            <family val="2"/>
          </rPr>
          <t xml:space="preserve">
COMPLIANCE ACTION (3-4) </t>
        </r>
        <r>
          <rPr>
            <sz val="9"/>
            <color indexed="81"/>
            <rFont val="Tahoma"/>
            <family val="2"/>
          </rPr>
          <t xml:space="preserve">
Findings are logged. Flags stay on file. 
• Lose 1D6 Salvage 
• Next job: First Hitch cannot be All Clear 
• Clear all Traces 
</t>
        </r>
        <r>
          <rPr>
            <b/>
            <sz val="9"/>
            <color indexed="81"/>
            <rFont val="Tahoma"/>
            <family val="2"/>
          </rPr>
          <t xml:space="preserve">ENFORCEMENT AUDIT (5-6) </t>
        </r>
        <r>
          <rPr>
            <sz val="9"/>
            <color indexed="81"/>
            <rFont val="Tahoma"/>
            <family val="2"/>
          </rPr>
          <t xml:space="preserve">
Vaststar sends people, not forms. 
• Lose 2D6 Salvage 
• +1 ACR on the next job 
• One random crew member gains a Scar 
• Clear all Traces 
</t>
        </r>
        <r>
          <rPr>
            <b/>
            <sz val="9"/>
            <color indexed="81"/>
            <rFont val="Tahoma"/>
            <family val="2"/>
          </rPr>
          <t xml:space="preserve">FULL LOCKDOWN (7+) </t>
        </r>
        <r>
          <rPr>
            <sz val="9"/>
            <color indexed="81"/>
            <rFont val="Tahoma"/>
            <family val="2"/>
          </rPr>
          <t xml:space="preserve">
Something crossed a line. 
• Lose all Salvage recovered on the last job 
• Next job must be on-contract only (no Quiet 
Pulls allowed) 
• Automatic Audit after that next job, 
regardless of Traces 
• Clear all Traces</t>
        </r>
      </text>
    </comment>
    <comment ref="E5" authorId="0" shapeId="0" xr:uid="{F2DE24F7-9A2D-4CBF-9158-95C8280ECF14}">
      <text>
        <r>
          <rPr>
            <b/>
            <sz val="9"/>
            <color indexed="81"/>
            <rFont val="Tahoma"/>
            <family val="2"/>
          </rPr>
          <t>Earned by completing a full Level.
Declare before rolling one Hitch to set to 'All Clear.'</t>
        </r>
      </text>
    </comment>
  </commentList>
</comments>
</file>

<file path=xl/sharedStrings.xml><?xml version="1.0" encoding="utf-8"?>
<sst xmlns="http://schemas.openxmlformats.org/spreadsheetml/2006/main" count="516" uniqueCount="275">
  <si>
    <t>Rules</t>
  </si>
  <si>
    <t>Melee Weapon</t>
  </si>
  <si>
    <t>Ranged Weapon</t>
  </si>
  <si>
    <t>Torch</t>
  </si>
  <si>
    <t>Rigger</t>
  </si>
  <si>
    <t>Scan/Hack and Resist Stress.</t>
  </si>
  <si>
    <t>Break/Brace Actions and Resist Environmental Hazards.</t>
  </si>
  <si>
    <t>Patch</t>
  </si>
  <si>
    <t>Repair/Heal and Interact/Use</t>
  </si>
  <si>
    <t>Yarddog</t>
  </si>
  <si>
    <t>Combat (Choose Melee or Ranged) and Push.</t>
  </si>
  <si>
    <t>Knacks</t>
  </si>
  <si>
    <t>Space Ballet</t>
  </si>
  <si>
    <t xml:space="preserve">Re-roll movement related Dodge/Defend in Zero-G. </t>
  </si>
  <si>
    <t>Hatch Rat</t>
  </si>
  <si>
    <t>Double value of Salvage Roll for POIs.</t>
  </si>
  <si>
    <t>Wire Head</t>
  </si>
  <si>
    <t>May forego Free Move to auto-pass a Scan/Hack.</t>
  </si>
  <si>
    <t>Deep Pocket</t>
  </si>
  <si>
    <t>One U-Slot may hold 2x the specified item.</t>
  </si>
  <si>
    <t>Ship Breaker</t>
  </si>
  <si>
    <t>May forego Free Move to auto-pass a Break/Brace.</t>
  </si>
  <si>
    <t>Quick Stitch</t>
  </si>
  <si>
    <t>May forego Free Move to auto-pass Repair/Heal.</t>
  </si>
  <si>
    <t>Rattles</t>
  </si>
  <si>
    <t>Spacer's Shake</t>
  </si>
  <si>
    <t>-1 to Scan/Hack &amp; Repair/Heal. [Blocks Wire Head/Quick Stitch]</t>
  </si>
  <si>
    <t>Frangible Flinch</t>
  </si>
  <si>
    <t>On combat start, must spend Free Move to get to cover, if possible.</t>
  </si>
  <si>
    <t>Grav-Legs</t>
  </si>
  <si>
    <t>-1 to all Dodge/Defend rolls in Zero-G.</t>
  </si>
  <si>
    <t>Scarred Lungs</t>
  </si>
  <si>
    <t>-1 to Resist rolls v Toxic Cloud or Nanite Swarms.</t>
  </si>
  <si>
    <t>Seal Burns</t>
  </si>
  <si>
    <t>Move rate -1".</t>
  </si>
  <si>
    <t>Nervous Tic</t>
  </si>
  <si>
    <t>No Free Move on first turn in new MHU.</t>
  </si>
  <si>
    <t>EVA Suit</t>
  </si>
  <si>
    <t>Durability</t>
  </si>
  <si>
    <t>Movement</t>
  </si>
  <si>
    <t>U-Slots</t>
  </si>
  <si>
    <t>Modification Slots</t>
  </si>
  <si>
    <t>Special</t>
  </si>
  <si>
    <t>Workskin</t>
  </si>
  <si>
    <t>D4</t>
  </si>
  <si>
    <t>8"</t>
  </si>
  <si>
    <t>Rig Suit</t>
  </si>
  <si>
    <t>D4+1</t>
  </si>
  <si>
    <t>6"</t>
  </si>
  <si>
    <t>Hardshell</t>
  </si>
  <si>
    <t>D6</t>
  </si>
  <si>
    <t>5"</t>
  </si>
  <si>
    <t>Void Suit</t>
  </si>
  <si>
    <t>D6+1</t>
  </si>
  <si>
    <t>Wrecking Bar</t>
  </si>
  <si>
    <t>Hit 2 adjacent hostiles. +1 to Break/Brace</t>
  </si>
  <si>
    <t>Pulaski Axe</t>
  </si>
  <si>
    <t>-2 to defender's DD. +1 to Break/Brace. Wound = Suit Breach</t>
  </si>
  <si>
    <t>Power Shears</t>
  </si>
  <si>
    <t>-2" Move. -1 Melee. +2 Break/Brace. -4 Defender's DD.</t>
  </si>
  <si>
    <t>Cutter Torch</t>
  </si>
  <si>
    <t>Shock Baton</t>
  </si>
  <si>
    <t>Blocked Hits force second DD Roll to Stun. Robots -2 DD.</t>
  </si>
  <si>
    <t>Vibro-Knife</t>
  </si>
  <si>
    <t>Wound = Suit Breach. +1 U-Slot.</t>
  </si>
  <si>
    <t>-1 Defender's DD. +2 Break/Brace. +1 U-Slot.</t>
  </si>
  <si>
    <t>Range</t>
  </si>
  <si>
    <t>Bolt-Driver</t>
  </si>
  <si>
    <t>0-3"</t>
  </si>
  <si>
    <t>-4 to Defender's DD. | -1 U-Slot</t>
  </si>
  <si>
    <t>Mag-Hook</t>
  </si>
  <si>
    <t>Coil Pistol</t>
  </si>
  <si>
    <t xml:space="preserve">Defender rolls DD twice. </t>
  </si>
  <si>
    <t>Riot Gun [YD]</t>
  </si>
  <si>
    <t>-1 to Defender's DD. Wound = Suit Breach.</t>
  </si>
  <si>
    <t>PitBull [YD]</t>
  </si>
  <si>
    <t>12"</t>
  </si>
  <si>
    <t>3"</t>
  </si>
  <si>
    <t>Defender rolls DD twice. -1 U-Slot.</t>
  </si>
  <si>
    <t>Sunjet [YD]</t>
  </si>
  <si>
    <t>Teardrop</t>
  </si>
  <si>
    <t>-4 to Defender DD. Destroys terrain, POI. -1" Move. -2 U-Slots. Burn.</t>
  </si>
  <si>
    <t>Item Name</t>
  </si>
  <si>
    <t>Med-Kit</t>
  </si>
  <si>
    <t>Heal one wound</t>
  </si>
  <si>
    <t>Patch-Kit</t>
  </si>
  <si>
    <t>Repair one Suit Breach</t>
  </si>
  <si>
    <t>Override Chip</t>
  </si>
  <si>
    <t>Chem-Lights</t>
  </si>
  <si>
    <t>Remove darkness in MHU for one turn.</t>
  </si>
  <si>
    <t>Seal Foam</t>
  </si>
  <si>
    <t>Repair Hull Breach in MHU.</t>
  </si>
  <si>
    <t>Det-Cord</t>
  </si>
  <si>
    <t>Open stuck door/hatch. Bypasses Break/Brace.</t>
  </si>
  <si>
    <t>Open fused panel. Bypasses Scan/Hack.</t>
  </si>
  <si>
    <t>Tether Line</t>
  </si>
  <si>
    <t>Safe Zero-G movement for one Scrapjack for one turn.</t>
  </si>
  <si>
    <t>C-Dose</t>
  </si>
  <si>
    <t>Extra Load or Focus, or 2DB for either. No Free Move next turn.</t>
  </si>
  <si>
    <t xml:space="preserve">Dazzler </t>
  </si>
  <si>
    <t>Ranged Attack. Organics DD -4. LBT. Fail = Stun</t>
  </si>
  <si>
    <t>EMP</t>
  </si>
  <si>
    <t>Ranged Attack. Robots DD -4. LBT. Fail = Wound</t>
  </si>
  <si>
    <t>EVA Mod</t>
  </si>
  <si>
    <t>Mag-Boots</t>
  </si>
  <si>
    <t>Ignore Zero-G. +1 v Hull Shift/Hull Breach</t>
  </si>
  <si>
    <t>Carbon Fiber Plates</t>
  </si>
  <si>
    <t>+1 DD v Melee and Ranged</t>
  </si>
  <si>
    <t>Shoulder Lamps</t>
  </si>
  <si>
    <t>Ignore Darkness. Normal LOS for ranged.</t>
  </si>
  <si>
    <t>Tool Harness</t>
  </si>
  <si>
    <t>+3 U-Slots</t>
  </si>
  <si>
    <t>Hardened Suit System</t>
  </si>
  <si>
    <t>Ignore Flashbangs. +1 DD v Stun Rolls</t>
  </si>
  <si>
    <t>Filter System</t>
  </si>
  <si>
    <t>Ignore Toxic Fumes hazards</t>
  </si>
  <si>
    <t>Weapon Mods</t>
  </si>
  <si>
    <t>Laser Designator</t>
  </si>
  <si>
    <t>Mag-Sheath</t>
  </si>
  <si>
    <t>Overcharge Port</t>
  </si>
  <si>
    <t>Smart Grip</t>
  </si>
  <si>
    <t>Custom Foregrip</t>
  </si>
  <si>
    <t>Bayonet Lug</t>
  </si>
  <si>
    <t>Veteran Knack</t>
  </si>
  <si>
    <t>Description</t>
  </si>
  <si>
    <t>Lock It In</t>
  </si>
  <si>
    <t>Once per activation, aim for free.</t>
  </si>
  <si>
    <t>Crash Entry</t>
  </si>
  <si>
    <t>When entering new MHU, +1" to first Free Move and +1 to first Action Die roll.</t>
  </si>
  <si>
    <t>Last Lung</t>
  </si>
  <si>
    <t>When at half starting aircharge, +1 to DD rolls.</t>
  </si>
  <si>
    <t>Still Breathing</t>
  </si>
  <si>
    <t>Once per MHU. When stunned or breached, move half distance for free.</t>
  </si>
  <si>
    <t>Dead Signal Sense</t>
  </si>
  <si>
    <t>Once per MHU. Ignoreone Environmental Hazard penalty when acting on a POI.</t>
  </si>
  <si>
    <t>Sure Footing</t>
  </si>
  <si>
    <t>Ignore movement penalties from terrain based hazards.</t>
  </si>
  <si>
    <t>Bad Feelings</t>
  </si>
  <si>
    <t>Once per Job. Reroll one Entry Hazard.</t>
  </si>
  <si>
    <t>Finish the Job</t>
  </si>
  <si>
    <t>Once per Job. If objective is one step from completion, resolve it. Lose next activation.</t>
  </si>
  <si>
    <t>Advanced Training</t>
  </si>
  <si>
    <t>Range Time</t>
  </si>
  <si>
    <t>May equip Riot Gun.</t>
  </si>
  <si>
    <t>Wreck Runner</t>
  </si>
  <si>
    <t>May split free move before and after single Vital-related action.</t>
  </si>
  <si>
    <t>Support Sled</t>
  </si>
  <si>
    <t>Scar</t>
  </si>
  <si>
    <t>Accomodation</t>
  </si>
  <si>
    <t>-1 U-Slot</t>
  </si>
  <si>
    <t>Bent Frame</t>
  </si>
  <si>
    <t>On first Load Dice use, lose next Free Move.</t>
  </si>
  <si>
    <t>Hot Joints</t>
  </si>
  <si>
    <t>On first successful Load action, cannot Push for this turn.</t>
  </si>
  <si>
    <t>Focal Blur</t>
  </si>
  <si>
    <t>On first Focus action, -1 modifier.</t>
  </si>
  <si>
    <t>Brain Fog</t>
  </si>
  <si>
    <t>On first Focus action, cannot make another activation this turn.</t>
  </si>
  <si>
    <t>Air Panic</t>
  </si>
  <si>
    <t>On first Aircharge loss, cannot Push next turn.</t>
  </si>
  <si>
    <t>No Bounce</t>
  </si>
  <si>
    <t>On first activation, begin with one fewer Vital Action Dice.</t>
  </si>
  <si>
    <t>LOAD</t>
  </si>
  <si>
    <t>FOCUS</t>
  </si>
  <si>
    <t>GRIT</t>
  </si>
  <si>
    <t>EVA:</t>
  </si>
  <si>
    <t>DD</t>
  </si>
  <si>
    <t>Knack</t>
  </si>
  <si>
    <t>Rattle</t>
  </si>
  <si>
    <t>Vet Knack</t>
  </si>
  <si>
    <t>YOUR DUDE</t>
  </si>
  <si>
    <t>GEAR</t>
  </si>
  <si>
    <t>U-SLOTS</t>
  </si>
  <si>
    <t>Adv. Train.</t>
  </si>
  <si>
    <t>STATS</t>
  </si>
  <si>
    <t>Role Name</t>
  </si>
  <si>
    <t>Jack Locklin</t>
  </si>
  <si>
    <t>Melee</t>
  </si>
  <si>
    <t>+1 to hit</t>
  </si>
  <si>
    <t>+1 U-Slot. No Power Shears.</t>
  </si>
  <si>
    <t>Spend Power Cell. -4 Defender DD.</t>
  </si>
  <si>
    <t>+1 to hit.</t>
  </si>
  <si>
    <t>If stationary prior, +1 to hit, -1 Def. DD.</t>
  </si>
  <si>
    <t>-1 Defender DD. Fulfills Melee, +1 U-Slot.</t>
  </si>
  <si>
    <t>MOVEMENT</t>
  </si>
  <si>
    <t>D10</t>
  </si>
  <si>
    <t>D8</t>
  </si>
  <si>
    <t>TWO DICE BONUS</t>
  </si>
  <si>
    <t>Lightweight and flexible.</t>
  </si>
  <si>
    <t>Standard issue.</t>
  </si>
  <si>
    <t>Heavy, restrictive.</t>
  </si>
  <si>
    <t>+2 to Resist Rolls (Entry Conditions, Hazards, Redline effects)</t>
  </si>
  <si>
    <r>
      <t xml:space="preserve">-1 to Defender's DD. No wounds. Declare </t>
    </r>
    <r>
      <rPr>
        <i/>
        <sz val="11"/>
        <color theme="1"/>
        <rFont val="Aptos Narrow"/>
        <family val="2"/>
        <scheme val="minor"/>
      </rPr>
      <t>before</t>
    </r>
    <r>
      <rPr>
        <sz val="11"/>
        <color theme="1"/>
        <rFont val="Aptos Narrow"/>
        <family val="2"/>
        <scheme val="minor"/>
      </rPr>
      <t xml:space="preserve"> roll: Knock Prone or Pull Adjacent.</t>
    </r>
  </si>
  <si>
    <t>Patchframe</t>
  </si>
  <si>
    <t>Dilbert Healbot</t>
  </si>
  <si>
    <t>D4+1 | 2 Wounds</t>
  </si>
  <si>
    <t>Immunities</t>
  </si>
  <si>
    <t xml:space="preserve">Immune to Stress, Terror, and Grit effects </t>
  </si>
  <si>
    <t>Limits</t>
  </si>
  <si>
    <t>Vulnerable to EMP, Electrical Hazards. Cannot Push, interact with Objectives/POI, clear Entry Hazards.</t>
  </si>
  <si>
    <t>Ship Type</t>
  </si>
  <si>
    <t>Class</t>
  </si>
  <si>
    <t>ACR</t>
  </si>
  <si>
    <t>Crew</t>
  </si>
  <si>
    <t>Workskins</t>
  </si>
  <si>
    <t>Rig Suits</t>
  </si>
  <si>
    <t>Hardshells</t>
  </si>
  <si>
    <t>Void Suits</t>
  </si>
  <si>
    <t>Upgrade 1</t>
  </si>
  <si>
    <t>Upgrade 2</t>
  </si>
  <si>
    <t>Upgrade 3</t>
  </si>
  <si>
    <t>Upgrade 4</t>
  </si>
  <si>
    <t>Note</t>
  </si>
  <si>
    <t>Ending Value</t>
  </si>
  <si>
    <t>Upgrade</t>
  </si>
  <si>
    <t>Cost</t>
  </si>
  <si>
    <t>Class C</t>
  </si>
  <si>
    <t>Tug</t>
  </si>
  <si>
    <t xml:space="preserve">Tug crews may clear a Level across multiple entries, but each return counts as a new job with full ACR. This represents the expected cost of working without adequate ship support. </t>
  </si>
  <si>
    <t>C &gt; B</t>
  </si>
  <si>
    <t>Class B</t>
  </si>
  <si>
    <t>Cutter</t>
  </si>
  <si>
    <t>Crew Advances</t>
  </si>
  <si>
    <t>Sled Station</t>
  </si>
  <si>
    <t xml:space="preserve">Cutter crews can reasonably expect to clear a full Level in a single operation, balancing risk and reward. A Cutter doesn’t make the job safe—it makes finishing it possible without going broke. </t>
  </si>
  <si>
    <t>B &gt; A</t>
  </si>
  <si>
    <t>Class A</t>
  </si>
  <si>
    <t>Herc</t>
  </si>
  <si>
    <t>Droid Compartment</t>
  </si>
  <si>
    <t>Veteran Knacks</t>
  </si>
  <si>
    <t>Herc crews are built to finish deep, dangerous Levels decisively. Their challenge is no longer survival, but exposure—higher ACR, heavier oversight, and consequences that follow them beyond the wreck.</t>
  </si>
  <si>
    <t>Allows Support Sled in missions.</t>
  </si>
  <si>
    <t>Allows one per crew.</t>
  </si>
  <si>
    <t>First is free. Allows single Support Droid.</t>
  </si>
  <si>
    <t>Retirement, Upgrades, Repairs</t>
  </si>
  <si>
    <t>Currently Available Ending</t>
  </si>
  <si>
    <t>Entry</t>
  </si>
  <si>
    <t>Gains</t>
  </si>
  <si>
    <t>Losses</t>
  </si>
  <si>
    <t>Current Trace</t>
  </si>
  <si>
    <t>ACR Cost</t>
  </si>
  <si>
    <t>Upgrades</t>
  </si>
  <si>
    <t>Ops Familiarity</t>
  </si>
  <si>
    <t>The Aurelia</t>
  </si>
  <si>
    <t>No</t>
  </si>
  <si>
    <t>Current
Profit:</t>
  </si>
  <si>
    <t>Current
Retirement:</t>
  </si>
  <si>
    <r>
      <rPr>
        <b/>
        <sz val="11"/>
        <color theme="1"/>
        <rFont val="Aptos Narrow"/>
        <family val="2"/>
        <scheme val="minor"/>
      </rPr>
      <t>The Clean Break</t>
    </r>
    <r>
      <rPr>
        <sz val="11"/>
        <color theme="1"/>
        <rFont val="Aptos Narrow"/>
        <family val="2"/>
        <scheme val="minor"/>
      </rPr>
      <t xml:space="preserve">
You’re out. No debt. No leash. No upgrades. 
• A quiet port and a legal name 
• A small legitimate operation or contract work 
• No more recovery jobs unless you want them 
You didn’t get rich. You got free. </t>
    </r>
  </si>
  <si>
    <r>
      <rPr>
        <b/>
        <sz val="11"/>
        <color theme="1"/>
        <rFont val="Aptos Narrow"/>
        <family val="2"/>
        <scheme val="minor"/>
      </rPr>
      <t xml:space="preserve">The Comfortable Exit
</t>
    </r>
    <r>
      <rPr>
        <sz val="11"/>
        <color theme="1"/>
        <rFont val="Aptos Narrow"/>
        <family val="2"/>
        <scheme val="minor"/>
      </rPr>
      <t xml:space="preserve">You planned ahead. You leave with leverage. 
• A registered business, ship share, or long
term posting 
• Financial stability and protected assets 
• The option to pull favors or fund someone 
else’s crew 
You don’t talk about the wrecks. 
You don’t have to. </t>
    </r>
  </si>
  <si>
    <r>
      <rPr>
        <b/>
        <sz val="11"/>
        <color theme="1"/>
        <rFont val="Aptos Narrow"/>
        <family val="2"/>
        <scheme val="minor"/>
      </rPr>
      <t xml:space="preserve">The Golden Exit
</t>
    </r>
    <r>
      <rPr>
        <sz val="11"/>
        <color theme="1"/>
        <rFont val="Aptos Narrow"/>
        <family val="2"/>
        <scheme val="minor"/>
      </rPr>
      <t xml:space="preserve">The kind of ending people don’t believe in. 
• Total contract buyout and identity insulation 
• Luxury living, permanent off-world 
residency, or private transport 
• Enough distance from Vaststar that they 
can’t—or won’t—reach you 
You beat the odds. You walked away with something the void couldn’t take back. </t>
    </r>
  </si>
  <si>
    <r>
      <rPr>
        <b/>
        <sz val="11"/>
        <color theme="1"/>
        <rFont val="Aptos Narrow"/>
        <family val="2"/>
        <scheme val="minor"/>
      </rPr>
      <t xml:space="preserve">Not Just Yet
</t>
    </r>
    <r>
      <rPr>
        <sz val="11"/>
        <color theme="1"/>
        <rFont val="Aptos Narrow"/>
        <family val="2"/>
        <scheme val="minor"/>
      </rPr>
      <t>You keep saving, hoping, waiting. One day, you'll make it out.</t>
    </r>
  </si>
  <si>
    <t>Stabilize</t>
  </si>
  <si>
    <t>Remove Stunned or apply one Patch Kit or Med-Kit to an adjacent Scrapjack.</t>
  </si>
  <si>
    <t>Emergency Drag</t>
  </si>
  <si>
    <t>Other Rules</t>
  </si>
  <si>
    <t>When current stock of kits is expended, the droid may only Drag or provide cover 
• Scrapjacks may transfer Med-Kits or Patch-Kits from droid to an empty U-Slot when adjacent + Interact/Use action.  
• Restocks only during the Reset Phase using kits from crew Leg Bags. (No action cost.)</t>
  </si>
  <si>
    <t>Breachframe</t>
  </si>
  <si>
    <t>Free. Once per activation. Move an adjacent Incapacitated Scrapjack up to 3”.</t>
  </si>
  <si>
    <t>Patch Kits</t>
  </si>
  <si>
    <t>Med Kits</t>
  </si>
  <si>
    <t>Heal one wound. Carries 2.</t>
  </si>
  <si>
    <t>Repair one suit breach. Carries 2.</t>
  </si>
  <si>
    <t>Industrial Melee Tool</t>
  </si>
  <si>
    <t>May only take two actions (D8) + Free Move.</t>
  </si>
  <si>
    <t>Hit: Target suffers –1 to Dodge/Defend rolls until end of the round.</t>
  </si>
  <si>
    <t>Suppress</t>
  </si>
  <si>
    <t>Firearm</t>
  </si>
  <si>
    <t>6". Only suppresses.</t>
  </si>
  <si>
    <r>
      <rPr>
        <b/>
        <sz val="11"/>
        <color theme="1"/>
        <rFont val="Aptos Display"/>
        <family val="2"/>
        <scheme val="major"/>
      </rPr>
      <t>Body Block:</t>
    </r>
    <r>
      <rPr>
        <sz val="11"/>
        <color theme="1"/>
        <rFont val="Aptos Display"/>
        <family val="2"/>
        <scheme val="major"/>
      </rPr>
      <t xml:space="preserve"> Scrapjacks may treat the droid as Hard Cover 
</t>
    </r>
    <r>
      <rPr>
        <b/>
        <sz val="11"/>
        <color theme="1"/>
        <rFont val="Aptos Display"/>
        <family val="2"/>
        <scheme val="major"/>
      </rPr>
      <t>No Tactical Sense:</t>
    </r>
    <r>
      <rPr>
        <sz val="11"/>
        <color theme="1"/>
        <rFont val="Aptos Display"/>
        <family val="2"/>
        <scheme val="major"/>
      </rPr>
      <t xml:space="preserve"> Cannot benefit from Veteran Knacks or use crew rerolls or special coordination effects.</t>
    </r>
  </si>
  <si>
    <t>Billy Attackbot</t>
  </si>
  <si>
    <t>ITEMS ABOARD SHIP</t>
  </si>
  <si>
    <t>ITEM</t>
  </si>
  <si>
    <t>QUANTITY</t>
  </si>
  <si>
    <t>DESCRIPTION</t>
  </si>
  <si>
    <t>ACR Ledger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</si>
</sst>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gency FB"/>
      <family val="2"/>
    </font>
    <font>
      <sz val="12"/>
      <color theme="1"/>
      <name val="Aptos Display"/>
      <family val="2"/>
      <scheme val="major"/>
    </font>
    <font>
      <b/>
      <sz val="18"/>
      <color theme="0"/>
      <name val="Agency FB"/>
      <family val="2"/>
    </font>
    <font>
      <sz val="12"/>
      <color theme="0"/>
      <name val="Aptos Display"/>
      <family val="2"/>
      <scheme val="major"/>
    </font>
    <font>
      <b/>
      <sz val="26"/>
      <color theme="1"/>
      <name val="Agency FB"/>
      <family val="2"/>
    </font>
    <font>
      <b/>
      <sz val="14"/>
      <color theme="0"/>
      <name val="Aptos Narrow"/>
      <family val="2"/>
      <scheme val="minor"/>
    </font>
    <font>
      <b/>
      <sz val="12"/>
      <color theme="0"/>
      <name val="Agency FB"/>
      <family val="2"/>
    </font>
    <font>
      <b/>
      <sz val="14"/>
      <color theme="0"/>
      <name val="Agency FB"/>
      <family val="2"/>
    </font>
    <font>
      <b/>
      <sz val="14"/>
      <color theme="1"/>
      <name val="Agency FB"/>
      <family val="2"/>
    </font>
    <font>
      <b/>
      <sz val="16"/>
      <color theme="1"/>
      <name val="Agency FB"/>
      <family val="2"/>
    </font>
    <font>
      <b/>
      <sz val="16"/>
      <color theme="0"/>
      <name val="Agency FB"/>
      <family val="2"/>
    </font>
    <font>
      <b/>
      <sz val="11"/>
      <color theme="0"/>
      <name val="Agency FB"/>
      <family val="2"/>
    </font>
    <font>
      <b/>
      <sz val="22"/>
      <color theme="0"/>
      <name val="Agency FB"/>
      <family val="2"/>
    </font>
    <font>
      <b/>
      <sz val="20"/>
      <color theme="0"/>
      <name val="Agency FB"/>
      <family val="2"/>
    </font>
    <font>
      <b/>
      <sz val="28"/>
      <color theme="0"/>
      <name val="Agency FB"/>
      <family val="2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1"/>
      <color theme="0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4"/>
      <color theme="1"/>
      <name val="Agency FB"/>
      <family val="2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9"/>
      <color indexed="81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1" tint="4.9989318521683403E-2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Dashed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Dashed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0" xfId="0" quotePrefix="1"/>
    <xf numFmtId="0" fontId="0" fillId="2" borderId="1" xfId="0" applyFill="1" applyBorder="1"/>
    <xf numFmtId="0" fontId="10" fillId="4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14" fillId="7" borderId="1" xfId="0" applyFont="1" applyFill="1" applyBorder="1"/>
    <xf numFmtId="0" fontId="10" fillId="4" borderId="17" xfId="0" applyFont="1" applyFill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center"/>
    </xf>
    <xf numFmtId="0" fontId="9" fillId="6" borderId="20" xfId="0" applyFont="1" applyFill="1" applyBorder="1" applyAlignment="1">
      <alignment horizontal="center" vertical="center"/>
    </xf>
    <xf numFmtId="0" fontId="14" fillId="7" borderId="19" xfId="0" applyFont="1" applyFill="1" applyBorder="1"/>
    <xf numFmtId="0" fontId="20" fillId="6" borderId="1" xfId="0" applyFont="1" applyFill="1" applyBorder="1" applyAlignment="1">
      <alignment horizontal="center"/>
    </xf>
    <xf numFmtId="0" fontId="14" fillId="5" borderId="14" xfId="0" applyFont="1" applyFill="1" applyBorder="1"/>
    <xf numFmtId="0" fontId="14" fillId="5" borderId="1" xfId="0" applyFont="1" applyFill="1" applyBorder="1"/>
    <xf numFmtId="0" fontId="14" fillId="5" borderId="19" xfId="0" applyFont="1" applyFill="1" applyBorder="1"/>
    <xf numFmtId="0" fontId="20" fillId="6" borderId="11" xfId="0" applyFont="1" applyFill="1" applyBorder="1" applyAlignment="1">
      <alignment horizontal="center"/>
    </xf>
    <xf numFmtId="0" fontId="14" fillId="7" borderId="29" xfId="0" applyFont="1" applyFill="1" applyBorder="1"/>
    <xf numFmtId="0" fontId="22" fillId="6" borderId="14" xfId="0" applyFont="1" applyFill="1" applyBorder="1" applyAlignment="1">
      <alignment horizontal="center"/>
    </xf>
    <xf numFmtId="0" fontId="0" fillId="0" borderId="22" xfId="0" applyBorder="1"/>
    <xf numFmtId="0" fontId="5" fillId="6" borderId="19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/>
    </xf>
    <xf numFmtId="0" fontId="12" fillId="4" borderId="19" xfId="0" applyFont="1" applyFill="1" applyBorder="1" applyAlignment="1">
      <alignment horizontal="left"/>
    </xf>
    <xf numFmtId="0" fontId="0" fillId="7" borderId="1" xfId="0" applyFill="1" applyBorder="1"/>
    <xf numFmtId="0" fontId="0" fillId="8" borderId="0" xfId="0" applyFill="1"/>
    <xf numFmtId="0" fontId="12" fillId="3" borderId="1" xfId="0" applyFont="1" applyFill="1" applyBorder="1"/>
    <xf numFmtId="0" fontId="12" fillId="5" borderId="1" xfId="0" applyFont="1" applyFill="1" applyBorder="1"/>
    <xf numFmtId="0" fontId="12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0" fillId="0" borderId="1" xfId="0" applyBorder="1"/>
    <xf numFmtId="0" fontId="10" fillId="5" borderId="1" xfId="0" applyFont="1" applyFill="1" applyBorder="1"/>
    <xf numFmtId="0" fontId="13" fillId="6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21" fillId="6" borderId="19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wrapText="1"/>
    </xf>
    <xf numFmtId="0" fontId="11" fillId="5" borderId="0" xfId="0" applyFont="1" applyFill="1" applyAlignment="1">
      <alignment horizontal="center"/>
    </xf>
    <xf numFmtId="0" fontId="11" fillId="5" borderId="0" xfId="0" applyFont="1" applyFill="1"/>
    <xf numFmtId="0" fontId="0" fillId="6" borderId="1" xfId="0" applyFill="1" applyBorder="1"/>
    <xf numFmtId="0" fontId="7" fillId="3" borderId="1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3" fillId="6" borderId="14" xfId="0" applyFont="1" applyFill="1" applyBorder="1" applyAlignment="1">
      <alignment horizontal="left"/>
    </xf>
    <xf numFmtId="0" fontId="23" fillId="6" borderId="15" xfId="0" applyFont="1" applyFill="1" applyBorder="1" applyAlignment="1">
      <alignment horizontal="left"/>
    </xf>
    <xf numFmtId="0" fontId="19" fillId="3" borderId="13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textRotation="90"/>
    </xf>
    <xf numFmtId="0" fontId="16" fillId="4" borderId="16" xfId="0" applyFont="1" applyFill="1" applyBorder="1" applyAlignment="1">
      <alignment horizontal="center" vertical="center" textRotation="90"/>
    </xf>
    <xf numFmtId="0" fontId="16" fillId="4" borderId="18" xfId="0" applyFont="1" applyFill="1" applyBorder="1" applyAlignment="1">
      <alignment horizontal="center" vertical="center" textRotation="90"/>
    </xf>
    <xf numFmtId="0" fontId="4" fillId="6" borderId="14" xfId="0" applyFont="1" applyFill="1" applyBorder="1" applyAlignment="1">
      <alignment horizontal="left"/>
    </xf>
    <xf numFmtId="0" fontId="4" fillId="6" borderId="15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4" fillId="6" borderId="17" xfId="0" applyFont="1" applyFill="1" applyBorder="1" applyAlignment="1">
      <alignment horizontal="left"/>
    </xf>
    <xf numFmtId="0" fontId="4" fillId="6" borderId="19" xfId="0" applyFont="1" applyFill="1" applyBorder="1" applyAlignment="1">
      <alignment horizontal="left"/>
    </xf>
    <xf numFmtId="0" fontId="4" fillId="6" borderId="20" xfId="0" applyFont="1" applyFill="1" applyBorder="1" applyAlignment="1">
      <alignment horizontal="left"/>
    </xf>
    <xf numFmtId="0" fontId="4" fillId="6" borderId="29" xfId="0" applyFont="1" applyFill="1" applyBorder="1" applyAlignment="1">
      <alignment horizontal="left"/>
    </xf>
    <xf numFmtId="0" fontId="4" fillId="6" borderId="30" xfId="0" applyFont="1" applyFill="1" applyBorder="1" applyAlignment="1">
      <alignment horizontal="left"/>
    </xf>
    <xf numFmtId="0" fontId="4" fillId="6" borderId="11" xfId="0" applyFont="1" applyFill="1" applyBorder="1" applyAlignment="1">
      <alignment horizontal="left"/>
    </xf>
    <xf numFmtId="0" fontId="4" fillId="6" borderId="27" xfId="0" applyFont="1" applyFill="1" applyBorder="1" applyAlignment="1">
      <alignment horizontal="left"/>
    </xf>
    <xf numFmtId="0" fontId="17" fillId="4" borderId="16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18" xfId="0" applyFont="1" applyFill="1" applyBorder="1" applyAlignment="1">
      <alignment horizontal="center" vertical="center"/>
    </xf>
    <xf numFmtId="0" fontId="17" fillId="4" borderId="19" xfId="0" applyFont="1" applyFill="1" applyBorder="1" applyAlignment="1">
      <alignment horizontal="center" vertical="center"/>
    </xf>
    <xf numFmtId="0" fontId="14" fillId="5" borderId="25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left"/>
    </xf>
    <xf numFmtId="0" fontId="6" fillId="6" borderId="15" xfId="0" applyFont="1" applyFill="1" applyBorder="1" applyAlignment="1">
      <alignment horizontal="left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8" xfId="0" applyFont="1" applyFill="1" applyBorder="1" applyAlignment="1">
      <alignment horizontal="center" vertical="center"/>
    </xf>
    <xf numFmtId="0" fontId="21" fillId="6" borderId="49" xfId="0" applyFont="1" applyFill="1" applyBorder="1" applyAlignment="1">
      <alignment horizontal="center" vertical="center" wrapText="1"/>
    </xf>
    <xf numFmtId="0" fontId="21" fillId="6" borderId="50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 vertical="center"/>
    </xf>
    <xf numFmtId="0" fontId="30" fillId="6" borderId="33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30" fillId="6" borderId="35" xfId="0" applyFont="1" applyFill="1" applyBorder="1" applyAlignment="1">
      <alignment horizontal="left"/>
    </xf>
    <xf numFmtId="0" fontId="7" fillId="4" borderId="52" xfId="0" applyFont="1" applyFill="1" applyBorder="1" applyAlignment="1">
      <alignment horizontal="center" vertical="center"/>
    </xf>
    <xf numFmtId="0" fontId="7" fillId="4" borderId="45" xfId="0" applyFont="1" applyFill="1" applyBorder="1" applyAlignment="1">
      <alignment horizontal="center" vertical="center"/>
    </xf>
    <xf numFmtId="0" fontId="30" fillId="6" borderId="49" xfId="0" applyFont="1" applyFill="1" applyBorder="1" applyAlignment="1">
      <alignment horizontal="left"/>
    </xf>
    <xf numFmtId="0" fontId="30" fillId="6" borderId="51" xfId="0" applyFont="1" applyFill="1" applyBorder="1" applyAlignment="1">
      <alignment horizontal="left"/>
    </xf>
    <xf numFmtId="0" fontId="30" fillId="6" borderId="50" xfId="0" applyFont="1" applyFill="1" applyBorder="1" applyAlignment="1">
      <alignment horizontal="left"/>
    </xf>
    <xf numFmtId="0" fontId="18" fillId="4" borderId="37" xfId="0" applyFont="1" applyFill="1" applyBorder="1" applyAlignment="1">
      <alignment horizontal="center" vertical="center" textRotation="90"/>
    </xf>
    <xf numFmtId="0" fontId="18" fillId="4" borderId="46" xfId="0" applyFont="1" applyFill="1" applyBorder="1" applyAlignment="1">
      <alignment horizontal="center" vertical="center" textRotation="90"/>
    </xf>
    <xf numFmtId="0" fontId="18" fillId="4" borderId="47" xfId="0" applyFont="1" applyFill="1" applyBorder="1" applyAlignment="1">
      <alignment horizontal="center" vertical="center" textRotation="90"/>
    </xf>
    <xf numFmtId="0" fontId="30" fillId="6" borderId="6" xfId="0" applyFont="1" applyFill="1" applyBorder="1" applyAlignment="1">
      <alignment horizontal="left" vertical="center"/>
    </xf>
    <xf numFmtId="0" fontId="30" fillId="6" borderId="7" xfId="0" applyFont="1" applyFill="1" applyBorder="1" applyAlignment="1">
      <alignment horizontal="left" vertical="center"/>
    </xf>
    <xf numFmtId="0" fontId="30" fillId="6" borderId="24" xfId="0" applyFont="1" applyFill="1" applyBorder="1" applyAlignment="1">
      <alignment horizontal="left" vertical="center"/>
    </xf>
    <xf numFmtId="0" fontId="30" fillId="6" borderId="2" xfId="0" applyFont="1" applyFill="1" applyBorder="1" applyAlignment="1">
      <alignment horizontal="left" wrapText="1"/>
    </xf>
    <xf numFmtId="0" fontId="30" fillId="6" borderId="3" xfId="0" applyFont="1" applyFill="1" applyBorder="1" applyAlignment="1">
      <alignment horizontal="left"/>
    </xf>
    <xf numFmtId="0" fontId="30" fillId="6" borderId="38" xfId="0" applyFont="1" applyFill="1" applyBorder="1" applyAlignment="1">
      <alignment horizontal="left"/>
    </xf>
    <xf numFmtId="0" fontId="30" fillId="6" borderId="8" xfId="0" applyFont="1" applyFill="1" applyBorder="1" applyAlignment="1">
      <alignment horizontal="left" vertical="top" wrapText="1"/>
    </xf>
    <xf numFmtId="0" fontId="30" fillId="6" borderId="9" xfId="0" applyFont="1" applyFill="1" applyBorder="1" applyAlignment="1">
      <alignment horizontal="left" vertical="top"/>
    </xf>
    <xf numFmtId="0" fontId="30" fillId="6" borderId="39" xfId="0" applyFont="1" applyFill="1" applyBorder="1" applyAlignment="1">
      <alignment horizontal="left" vertical="top"/>
    </xf>
    <xf numFmtId="0" fontId="30" fillId="6" borderId="40" xfId="0" applyFont="1" applyFill="1" applyBorder="1" applyAlignment="1">
      <alignment horizontal="left" vertical="top"/>
    </xf>
    <xf numFmtId="0" fontId="30" fillId="6" borderId="0" xfId="0" applyFont="1" applyFill="1" applyAlignment="1">
      <alignment horizontal="left" vertical="top"/>
    </xf>
    <xf numFmtId="0" fontId="30" fillId="6" borderId="41" xfId="0" applyFont="1" applyFill="1" applyBorder="1" applyAlignment="1">
      <alignment horizontal="left" vertical="top"/>
    </xf>
    <xf numFmtId="0" fontId="30" fillId="6" borderId="42" xfId="0" applyFont="1" applyFill="1" applyBorder="1" applyAlignment="1">
      <alignment horizontal="left" vertical="top"/>
    </xf>
    <xf numFmtId="0" fontId="30" fillId="6" borderId="43" xfId="0" applyFont="1" applyFill="1" applyBorder="1" applyAlignment="1">
      <alignment horizontal="left" vertical="top"/>
    </xf>
    <xf numFmtId="0" fontId="30" fillId="6" borderId="44" xfId="0" applyFont="1" applyFill="1" applyBorder="1" applyAlignment="1">
      <alignment horizontal="left" vertical="top"/>
    </xf>
    <xf numFmtId="0" fontId="1" fillId="4" borderId="10" xfId="0" applyFont="1" applyFill="1" applyBorder="1" applyAlignment="1">
      <alignment horizontal="center"/>
    </xf>
    <xf numFmtId="0" fontId="1" fillId="4" borderId="48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vertical="center"/>
    </xf>
    <xf numFmtId="0" fontId="29" fillId="6" borderId="49" xfId="0" applyFont="1" applyFill="1" applyBorder="1" applyAlignment="1">
      <alignment horizontal="center" vertical="top" wrapText="1"/>
    </xf>
    <xf numFmtId="0" fontId="29" fillId="6" borderId="51" xfId="0" applyFont="1" applyFill="1" applyBorder="1" applyAlignment="1">
      <alignment horizontal="center" vertical="top" wrapText="1"/>
    </xf>
    <xf numFmtId="0" fontId="29" fillId="6" borderId="50" xfId="0" applyFont="1" applyFill="1" applyBorder="1" applyAlignment="1">
      <alignment horizontal="center" vertical="top" wrapText="1"/>
    </xf>
    <xf numFmtId="0" fontId="0" fillId="6" borderId="8" xfId="0" applyFill="1" applyBorder="1" applyAlignment="1">
      <alignment horizontal="left" vertical="top" wrapText="1"/>
    </xf>
    <xf numFmtId="0" fontId="0" fillId="6" borderId="9" xfId="0" applyFill="1" applyBorder="1" applyAlignment="1">
      <alignment horizontal="left" vertical="top"/>
    </xf>
    <xf numFmtId="0" fontId="0" fillId="6" borderId="39" xfId="0" applyFill="1" applyBorder="1" applyAlignment="1">
      <alignment horizontal="left" vertical="top"/>
    </xf>
    <xf numFmtId="0" fontId="0" fillId="6" borderId="40" xfId="0" applyFill="1" applyBorder="1" applyAlignment="1">
      <alignment horizontal="left" vertical="top"/>
    </xf>
    <xf numFmtId="0" fontId="0" fillId="6" borderId="0" xfId="0" applyFill="1" applyAlignment="1">
      <alignment horizontal="left" vertical="top"/>
    </xf>
    <xf numFmtId="0" fontId="0" fillId="6" borderId="41" xfId="0" applyFill="1" applyBorder="1" applyAlignment="1">
      <alignment horizontal="left" vertical="top"/>
    </xf>
    <xf numFmtId="0" fontId="0" fillId="6" borderId="42" xfId="0" applyFill="1" applyBorder="1" applyAlignment="1">
      <alignment horizontal="left" vertical="top"/>
    </xf>
    <xf numFmtId="0" fontId="0" fillId="6" borderId="43" xfId="0" applyFill="1" applyBorder="1" applyAlignment="1">
      <alignment horizontal="left" vertical="top"/>
    </xf>
    <xf numFmtId="0" fontId="0" fillId="6" borderId="44" xfId="0" applyFill="1" applyBorder="1" applyAlignment="1">
      <alignment horizontal="left" vertical="top"/>
    </xf>
    <xf numFmtId="0" fontId="4" fillId="6" borderId="6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left"/>
    </xf>
    <xf numFmtId="0" fontId="4" fillId="6" borderId="24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 wrapText="1"/>
    </xf>
    <xf numFmtId="0" fontId="4" fillId="6" borderId="3" xfId="0" applyFont="1" applyFill="1" applyBorder="1" applyAlignment="1">
      <alignment horizontal="left"/>
    </xf>
    <xf numFmtId="0" fontId="4" fillId="6" borderId="38" xfId="0" applyFont="1" applyFill="1" applyBorder="1" applyAlignment="1">
      <alignment horizontal="left"/>
    </xf>
    <xf numFmtId="0" fontId="12" fillId="3" borderId="0" xfId="0" applyFont="1" applyFill="1" applyAlignment="1">
      <alignment horizontal="center"/>
    </xf>
    <xf numFmtId="0" fontId="18" fillId="3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left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36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top"/>
    </xf>
    <xf numFmtId="0" fontId="28" fillId="7" borderId="2" xfId="0" applyFont="1" applyFill="1" applyBorder="1" applyAlignment="1">
      <alignment horizontal="left" vertical="top" wrapText="1"/>
    </xf>
    <xf numFmtId="0" fontId="28" fillId="7" borderId="3" xfId="0" applyFont="1" applyFill="1" applyBorder="1" applyAlignment="1">
      <alignment horizontal="left" vertical="top" wrapText="1"/>
    </xf>
    <xf numFmtId="0" fontId="28" fillId="7" borderId="4" xfId="0" applyFont="1" applyFill="1" applyBorder="1" applyAlignment="1">
      <alignment horizontal="left" vertical="top" wrapText="1"/>
    </xf>
    <xf numFmtId="0" fontId="12" fillId="3" borderId="2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1" fillId="5" borderId="0" xfId="0" applyFont="1" applyFill="1" applyAlignment="1">
      <alignment horizontal="center"/>
    </xf>
  </cellXfs>
  <cellStyles count="1">
    <cellStyle name="Normal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33CCCC"/>
      <color rgb="FF009999"/>
      <color rgb="FF006699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CAD676-2F4A-4714-A9D4-D4FA2A030CDF}" name="Role" displayName="Role" ref="A1:B5" totalsRowShown="0">
  <autoFilter ref="A1:B5" xr:uid="{FACAD676-2F4A-4714-A9D4-D4FA2A030CDF}"/>
  <tableColumns count="2">
    <tableColumn id="1" xr3:uid="{0D504ADF-E542-4911-8D40-518BCCC5582C}" name="Role Name"/>
    <tableColumn id="2" xr3:uid="{6E7803BC-4896-4BD7-BF45-5D1C5669EFCA}" name="Rul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CB33212-1EBA-4BF8-9704-D8FECCB93919}" name="Knacks" displayName="Knacks" ref="A7:B13" totalsRowShown="0">
  <autoFilter ref="A7:B13" xr:uid="{DCB33212-1EBA-4BF8-9704-D8FECCB93919}"/>
  <tableColumns count="2">
    <tableColumn id="1" xr3:uid="{ADFB3126-402E-4F26-A32C-5F1602397E05}" name="Knacks"/>
    <tableColumn id="2" xr3:uid="{2D5C11EA-F792-42E6-AF65-5D16C1810A19}" name="Rul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3BE68B7-62DA-40FF-A6D4-081F80526584}" name="Rattles" displayName="Rattles" ref="A15:B21" totalsRowShown="0">
  <autoFilter ref="A15:B21" xr:uid="{83BE68B7-62DA-40FF-A6D4-081F80526584}"/>
  <tableColumns count="2">
    <tableColumn id="1" xr3:uid="{1AD85AAC-AAC8-4EDA-A11A-B367786E4E4F}" name="Rattles"/>
    <tableColumn id="2" xr3:uid="{09E58A2A-EA4D-44BE-8CCB-71CEE98A8533}" name="Rul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7A99DB-CA21-427B-84DF-40BFD91DB3B1}" name="Vets" displayName="Vets" ref="A23:B31" totalsRowShown="0">
  <autoFilter ref="A23:B31" xr:uid="{7A7A99DB-CA21-427B-84DF-40BFD91DB3B1}"/>
  <tableColumns count="2">
    <tableColumn id="1" xr3:uid="{2A0AC512-4D96-4F9D-8224-C5752EBBE08C}" name="Veteran Knack"/>
    <tableColumn id="2" xr3:uid="{C8036E98-3242-4E9B-B7A6-89A335F54084}" name="Descriptio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46B9DAD-93EB-4D7A-B4A5-6A260A9F1531}" name="Training" displayName="Training" ref="A33:B35" totalsRowShown="0">
  <autoFilter ref="A33:B35" xr:uid="{F46B9DAD-93EB-4D7A-B4A5-6A260A9F1531}"/>
  <tableColumns count="2">
    <tableColumn id="1" xr3:uid="{E9B46853-8549-4409-BA4A-8E85B3B2D99F}" name="Advanced Training"/>
    <tableColumn id="2" xr3:uid="{2DA02444-5C86-4913-AB46-45B01C5336B7}" name="Description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A88B89F-CF4C-4031-A328-9277DE686FF5}" name="Scars" displayName="Scars" ref="A37:B44" totalsRowShown="0">
  <autoFilter ref="A37:B44" xr:uid="{4A88B89F-CF4C-4031-A328-9277DE686FF5}"/>
  <tableColumns count="2">
    <tableColumn id="1" xr3:uid="{52841B0B-49D3-4283-9ECE-C06C94023CC2}" name="Scar"/>
    <tableColumn id="2" xr3:uid="{F90726A5-A34D-4087-95E9-95B6AF12FE0A}" name="Description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3DB177B0-5ABE-4FDC-BA3A-7020CC8AC441}" name="Melee" displayName="Melee" ref="D1:E7" totalsRowShown="0">
  <autoFilter ref="D1:E7" xr:uid="{3DB177B0-5ABE-4FDC-BA3A-7020CC8AC441}"/>
  <tableColumns count="2">
    <tableColumn id="1" xr3:uid="{8B7514DA-845D-4407-B9B3-E60718B8DFE5}" name="Melee Weapon"/>
    <tableColumn id="2" xr3:uid="{A8EC4A21-3931-4BC0-B2D1-9103FD4B7D55}" name="Rule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B5EA3E8-3BA1-4424-BFAA-E4083D047A4D}" name="Items" displayName="Items" ref="D9:E19" totalsRowShown="0">
  <autoFilter ref="D9:E19" xr:uid="{4B5EA3E8-3BA1-4424-BFAA-E4083D047A4D}"/>
  <tableColumns count="2">
    <tableColumn id="1" xr3:uid="{01FFBF23-5117-460B-8BA4-274A01E08A97}" name="Item Name"/>
    <tableColumn id="2" xr3:uid="{C9A43B41-0489-4C66-BA11-CB0D1D59CC6B}" name="Rules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3EC0C08-634F-4A15-AE3C-23F9AB33077F}" name="Ranged" displayName="Ranged" ref="G1:I7" totalsRowShown="0">
  <autoFilter ref="G1:I7" xr:uid="{03EC0C08-634F-4A15-AE3C-23F9AB33077F}"/>
  <tableColumns count="3">
    <tableColumn id="1" xr3:uid="{64ACEA4D-3DC0-4A8D-B4FA-1B03ED8A14BE}" name="Ranged Weapon"/>
    <tableColumn id="2" xr3:uid="{51FCC4F3-1F75-4A3A-B7A2-4A6C3C0962A1}" name="Range"/>
    <tableColumn id="3" xr3:uid="{8D7CBE6D-76D2-4980-92F4-DF3BA737B456}" name="Rules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2BA2B91-0636-416A-BF7C-90B1F8429CA5}" name="EVA" displayName="EVA" ref="K1:P5" totalsRowShown="0">
  <autoFilter ref="K1:P5" xr:uid="{72BA2B91-0636-416A-BF7C-90B1F8429CA5}"/>
  <tableColumns count="6">
    <tableColumn id="1" xr3:uid="{ECFCFCB2-8BB8-43CA-8F7A-25305EB62D2D}" name="EVA Suit"/>
    <tableColumn id="2" xr3:uid="{948953E1-8482-44BD-9EE8-9AAFA2E4D7D3}" name="Durability"/>
    <tableColumn id="3" xr3:uid="{31CA1846-32DA-47BE-B4C5-318E3A78BDBE}" name="Movement"/>
    <tableColumn id="4" xr3:uid="{63C1CBA5-FB2D-4A5F-BA59-4C4752B5D8C1}" name="U-Slots"/>
    <tableColumn id="5" xr3:uid="{D31989EE-D31F-46A9-B89F-696ACF23DA87}" name="Modification Slots"/>
    <tableColumn id="6" xr3:uid="{5E1B9E2A-E6B9-4A31-8B5B-8692CB3278D8}" name="Special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279FD1F-FAAE-4870-9A40-55D5B87B2CBB}" name="EVAMods" displayName="EVAMods" ref="R1:S7" totalsRowShown="0">
  <autoFilter ref="R1:S7" xr:uid="{5279FD1F-FAAE-4870-9A40-55D5B87B2CBB}"/>
  <tableColumns count="2">
    <tableColumn id="1" xr3:uid="{3B8A164B-C89B-4A89-AE95-871488C1103E}" name="EVA Mod"/>
    <tableColumn id="2" xr3:uid="{99635BA4-D262-47B2-B41A-84E097AF5D01}" name="Rules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D6DF6A9E-2CF7-4E9E-9C14-6CE231335089}" name="WPNMods" displayName="WPNMods" ref="R9:S15" totalsRowShown="0">
  <autoFilter ref="R9:S15" xr:uid="{D6DF6A9E-2CF7-4E9E-9C14-6CE231335089}"/>
  <tableColumns count="2">
    <tableColumn id="1" xr3:uid="{1695D25C-B49C-4067-8D01-AADAD0482443}" name="Weapon Mods"/>
    <tableColumn id="2" xr3:uid="{5F87DCFA-2B86-4C79-9898-76C6BDBC96EF}" name="Rules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CECD7ADD-714F-49A1-8802-F0E37FDB91C0}" name="Ships" displayName="Ships" ref="G21:S24" totalsRowShown="0">
  <autoFilter ref="G21:S24" xr:uid="{CECD7ADD-714F-49A1-8802-F0E37FDB91C0}"/>
  <tableColumns count="13">
    <tableColumn id="1" xr3:uid="{DDD5FA07-814B-48F1-A5C9-4C954F031B18}" name="Ship Type"/>
    <tableColumn id="2" xr3:uid="{BE38D155-5BA2-4563-83F1-B9877CA318D4}" name="Class"/>
    <tableColumn id="3" xr3:uid="{06E870EC-FAFA-4337-8FE4-4980E0A9A739}" name="ACR"/>
    <tableColumn id="4" xr3:uid="{899B5910-78A9-4B78-8FA6-FBCEAADE33D5}" name="Crew"/>
    <tableColumn id="5" xr3:uid="{C1CC2008-855E-4ECB-A2E4-1B386DFD0675}" name="Workskins"/>
    <tableColumn id="6" xr3:uid="{ACEF6578-0824-4E3C-A940-B369157F2BEF}" name="Rig Suits"/>
    <tableColumn id="7" xr3:uid="{9B143848-D3E8-4768-BCEC-B577801FE05B}" name="Hardshells"/>
    <tableColumn id="8" xr3:uid="{6805EB43-B578-4106-8DC9-664944F3D401}" name="Void Suits"/>
    <tableColumn id="9" xr3:uid="{265AB54A-35AC-45F6-90F2-F93691D68D15}" name="Upgrade 1"/>
    <tableColumn id="10" xr3:uid="{FE372CAF-5DD0-4451-A7EF-D574BEF97F4D}" name="Upgrade 2"/>
    <tableColumn id="11" xr3:uid="{16CC74E6-5D44-43F3-A320-E6EF1D660F58}" name="Upgrade 3"/>
    <tableColumn id="12" xr3:uid="{6A599AD8-9E13-41B0-AC36-368F9320EEA1}" name="Upgrade 4"/>
    <tableColumn id="13" xr3:uid="{FBEE20BC-BE6F-46BC-9DEE-0C24EFD57FE1}" name="No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BED4B-CEB4-4DEB-AA80-635F5189F614}">
  <dimension ref="A1:AF55"/>
  <sheetViews>
    <sheetView zoomScale="55" zoomScaleNormal="55" workbookViewId="0">
      <selection activeCell="I34" sqref="I34"/>
    </sheetView>
  </sheetViews>
  <sheetFormatPr defaultRowHeight="15" x14ac:dyDescent="0.25"/>
  <cols>
    <col min="1" max="1" width="19.42578125" customWidth="1"/>
    <col min="2" max="2" width="77.42578125" bestFit="1" customWidth="1"/>
    <col min="4" max="4" width="16.5703125" customWidth="1"/>
    <col min="5" max="5" width="55.85546875" bestFit="1" customWidth="1"/>
    <col min="7" max="7" width="17.7109375" customWidth="1"/>
    <col min="9" max="9" width="63.28515625" bestFit="1" customWidth="1"/>
    <col min="11" max="11" width="18.42578125" customWidth="1"/>
    <col min="12" max="12" width="12" customWidth="1"/>
    <col min="13" max="13" width="12.85546875" customWidth="1"/>
    <col min="14" max="14" width="12.140625" customWidth="1"/>
    <col min="15" max="15" width="19.42578125" customWidth="1"/>
    <col min="16" max="16" width="15.85546875" bestFit="1" customWidth="1"/>
    <col min="17" max="17" width="12" customWidth="1"/>
    <col min="18" max="18" width="20.140625" bestFit="1" customWidth="1"/>
    <col min="19" max="19" width="45.5703125" customWidth="1"/>
    <col min="21" max="21" width="13.7109375" bestFit="1" customWidth="1"/>
    <col min="22" max="22" width="14.28515625" customWidth="1"/>
  </cols>
  <sheetData>
    <row r="1" spans="1:19" x14ac:dyDescent="0.25">
      <c r="A1" t="s">
        <v>175</v>
      </c>
      <c r="B1" t="s">
        <v>0</v>
      </c>
      <c r="D1" t="s">
        <v>1</v>
      </c>
      <c r="E1" t="s">
        <v>0</v>
      </c>
      <c r="G1" t="s">
        <v>2</v>
      </c>
      <c r="H1" t="s">
        <v>66</v>
      </c>
      <c r="I1" t="s">
        <v>0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R1" t="s">
        <v>103</v>
      </c>
      <c r="S1" t="s">
        <v>0</v>
      </c>
    </row>
    <row r="2" spans="1:19" x14ac:dyDescent="0.25">
      <c r="A2" t="s">
        <v>3</v>
      </c>
      <c r="B2" t="s">
        <v>6</v>
      </c>
      <c r="D2" t="s">
        <v>54</v>
      </c>
      <c r="E2" t="s">
        <v>55</v>
      </c>
      <c r="G2" t="s">
        <v>67</v>
      </c>
      <c r="H2" t="s">
        <v>68</v>
      </c>
      <c r="I2" s="1" t="s">
        <v>69</v>
      </c>
      <c r="K2" t="s">
        <v>43</v>
      </c>
      <c r="L2" t="s">
        <v>44</v>
      </c>
      <c r="M2" t="s">
        <v>45</v>
      </c>
      <c r="N2">
        <v>3</v>
      </c>
      <c r="O2">
        <v>1</v>
      </c>
      <c r="P2" t="s">
        <v>188</v>
      </c>
      <c r="R2" t="s">
        <v>104</v>
      </c>
      <c r="S2" t="s">
        <v>105</v>
      </c>
    </row>
    <row r="3" spans="1:19" x14ac:dyDescent="0.25">
      <c r="A3" t="s">
        <v>4</v>
      </c>
      <c r="B3" t="s">
        <v>5</v>
      </c>
      <c r="D3" t="s">
        <v>56</v>
      </c>
      <c r="E3" s="1" t="s">
        <v>57</v>
      </c>
      <c r="G3" t="s">
        <v>70</v>
      </c>
      <c r="H3" t="s">
        <v>68</v>
      </c>
      <c r="I3" s="1" t="s">
        <v>192</v>
      </c>
      <c r="K3" t="s">
        <v>46</v>
      </c>
      <c r="L3" t="s">
        <v>47</v>
      </c>
      <c r="M3" t="s">
        <v>48</v>
      </c>
      <c r="N3">
        <v>3</v>
      </c>
      <c r="O3">
        <v>2</v>
      </c>
      <c r="P3" t="s">
        <v>189</v>
      </c>
      <c r="R3" t="s">
        <v>106</v>
      </c>
      <c r="S3" s="1" t="s">
        <v>107</v>
      </c>
    </row>
    <row r="4" spans="1:19" x14ac:dyDescent="0.25">
      <c r="A4" t="s">
        <v>7</v>
      </c>
      <c r="B4" t="s">
        <v>8</v>
      </c>
      <c r="D4" t="s">
        <v>58</v>
      </c>
      <c r="E4" s="1" t="s">
        <v>59</v>
      </c>
      <c r="G4" t="s">
        <v>71</v>
      </c>
      <c r="H4" t="s">
        <v>77</v>
      </c>
      <c r="I4" t="s">
        <v>72</v>
      </c>
      <c r="K4" t="s">
        <v>49</v>
      </c>
      <c r="L4" t="s">
        <v>50</v>
      </c>
      <c r="M4" t="s">
        <v>51</v>
      </c>
      <c r="N4">
        <v>4</v>
      </c>
      <c r="O4">
        <v>3</v>
      </c>
      <c r="P4" t="s">
        <v>190</v>
      </c>
      <c r="R4" t="s">
        <v>108</v>
      </c>
      <c r="S4" t="s">
        <v>109</v>
      </c>
    </row>
    <row r="5" spans="1:19" x14ac:dyDescent="0.25">
      <c r="A5" t="s">
        <v>9</v>
      </c>
      <c r="B5" t="s">
        <v>10</v>
      </c>
      <c r="D5" t="s">
        <v>60</v>
      </c>
      <c r="E5" s="1" t="s">
        <v>65</v>
      </c>
      <c r="G5" t="s">
        <v>73</v>
      </c>
      <c r="H5" t="s">
        <v>48</v>
      </c>
      <c r="I5" s="1" t="s">
        <v>74</v>
      </c>
      <c r="K5" t="s">
        <v>52</v>
      </c>
      <c r="L5" t="s">
        <v>53</v>
      </c>
      <c r="M5" t="s">
        <v>48</v>
      </c>
      <c r="N5">
        <v>3</v>
      </c>
      <c r="O5">
        <v>2</v>
      </c>
      <c r="P5" s="1" t="s">
        <v>191</v>
      </c>
      <c r="R5" t="s">
        <v>110</v>
      </c>
      <c r="S5" s="1" t="s">
        <v>111</v>
      </c>
    </row>
    <row r="6" spans="1:19" x14ac:dyDescent="0.25">
      <c r="D6" t="s">
        <v>61</v>
      </c>
      <c r="E6" t="s">
        <v>62</v>
      </c>
      <c r="G6" t="s">
        <v>75</v>
      </c>
      <c r="H6" t="s">
        <v>76</v>
      </c>
      <c r="I6" t="s">
        <v>78</v>
      </c>
      <c r="R6" t="s">
        <v>112</v>
      </c>
      <c r="S6" t="s">
        <v>113</v>
      </c>
    </row>
    <row r="7" spans="1:19" x14ac:dyDescent="0.25">
      <c r="A7" t="s">
        <v>11</v>
      </c>
      <c r="B7" t="s">
        <v>0</v>
      </c>
      <c r="D7" t="s">
        <v>63</v>
      </c>
      <c r="E7" t="s">
        <v>64</v>
      </c>
      <c r="G7" t="s">
        <v>79</v>
      </c>
      <c r="H7" t="s">
        <v>80</v>
      </c>
      <c r="I7" s="1" t="s">
        <v>81</v>
      </c>
      <c r="R7" t="s">
        <v>114</v>
      </c>
      <c r="S7" t="s">
        <v>115</v>
      </c>
    </row>
    <row r="8" spans="1:19" x14ac:dyDescent="0.25">
      <c r="A8" t="s">
        <v>12</v>
      </c>
      <c r="B8" t="s">
        <v>13</v>
      </c>
    </row>
    <row r="9" spans="1:19" x14ac:dyDescent="0.25">
      <c r="A9" t="s">
        <v>14</v>
      </c>
      <c r="B9" t="s">
        <v>15</v>
      </c>
      <c r="D9" t="s">
        <v>82</v>
      </c>
      <c r="E9" t="s">
        <v>0</v>
      </c>
      <c r="R9" t="s">
        <v>116</v>
      </c>
      <c r="S9" t="s">
        <v>0</v>
      </c>
    </row>
    <row r="10" spans="1:19" x14ac:dyDescent="0.25">
      <c r="A10" t="s">
        <v>16</v>
      </c>
      <c r="B10" t="s">
        <v>17</v>
      </c>
      <c r="D10" t="s">
        <v>83</v>
      </c>
      <c r="E10" t="s">
        <v>84</v>
      </c>
      <c r="R10" t="s">
        <v>117</v>
      </c>
      <c r="S10" s="1" t="s">
        <v>178</v>
      </c>
    </row>
    <row r="11" spans="1:19" x14ac:dyDescent="0.25">
      <c r="A11" t="s">
        <v>18</v>
      </c>
      <c r="B11" t="s">
        <v>19</v>
      </c>
      <c r="D11" t="s">
        <v>85</v>
      </c>
      <c r="E11" t="s">
        <v>86</v>
      </c>
      <c r="R11" t="s">
        <v>118</v>
      </c>
      <c r="S11" s="1" t="s">
        <v>179</v>
      </c>
    </row>
    <row r="12" spans="1:19" x14ac:dyDescent="0.25">
      <c r="A12" t="s">
        <v>20</v>
      </c>
      <c r="B12" t="s">
        <v>21</v>
      </c>
      <c r="D12" t="s">
        <v>87</v>
      </c>
      <c r="E12" t="s">
        <v>94</v>
      </c>
      <c r="R12" t="s">
        <v>119</v>
      </c>
      <c r="S12" t="s">
        <v>180</v>
      </c>
    </row>
    <row r="13" spans="1:19" x14ac:dyDescent="0.25">
      <c r="A13" t="s">
        <v>22</v>
      </c>
      <c r="B13" t="s">
        <v>23</v>
      </c>
      <c r="D13" t="s">
        <v>88</v>
      </c>
      <c r="E13" t="s">
        <v>89</v>
      </c>
      <c r="R13" t="s">
        <v>120</v>
      </c>
      <c r="S13" s="1" t="s">
        <v>181</v>
      </c>
    </row>
    <row r="14" spans="1:19" x14ac:dyDescent="0.25">
      <c r="D14" t="s">
        <v>90</v>
      </c>
      <c r="E14" t="s">
        <v>91</v>
      </c>
      <c r="R14" t="s">
        <v>121</v>
      </c>
      <c r="S14" t="s">
        <v>182</v>
      </c>
    </row>
    <row r="15" spans="1:19" x14ac:dyDescent="0.25">
      <c r="A15" t="s">
        <v>24</v>
      </c>
      <c r="B15" t="s">
        <v>0</v>
      </c>
      <c r="D15" t="s">
        <v>92</v>
      </c>
      <c r="E15" t="s">
        <v>93</v>
      </c>
      <c r="R15" t="s">
        <v>122</v>
      </c>
      <c r="S15" s="1" t="s">
        <v>183</v>
      </c>
    </row>
    <row r="16" spans="1:19" x14ac:dyDescent="0.25">
      <c r="A16" t="s">
        <v>25</v>
      </c>
      <c r="B16" s="1" t="s">
        <v>26</v>
      </c>
      <c r="D16" t="s">
        <v>95</v>
      </c>
      <c r="E16" t="s">
        <v>96</v>
      </c>
    </row>
    <row r="17" spans="1:32" x14ac:dyDescent="0.25">
      <c r="A17" t="s">
        <v>27</v>
      </c>
      <c r="B17" t="s">
        <v>28</v>
      </c>
      <c r="D17" t="s">
        <v>97</v>
      </c>
      <c r="E17" t="s">
        <v>98</v>
      </c>
    </row>
    <row r="18" spans="1:32" x14ac:dyDescent="0.25">
      <c r="A18" t="s">
        <v>29</v>
      </c>
      <c r="B18" s="1" t="s">
        <v>30</v>
      </c>
      <c r="D18" t="s">
        <v>99</v>
      </c>
      <c r="E18" t="s">
        <v>100</v>
      </c>
    </row>
    <row r="19" spans="1:32" x14ac:dyDescent="0.25">
      <c r="A19" t="s">
        <v>31</v>
      </c>
      <c r="B19" s="1" t="s">
        <v>32</v>
      </c>
      <c r="D19" t="s">
        <v>101</v>
      </c>
      <c r="E19" t="s">
        <v>102</v>
      </c>
    </row>
    <row r="20" spans="1:32" x14ac:dyDescent="0.25">
      <c r="A20" t="s">
        <v>33</v>
      </c>
      <c r="B20" t="s">
        <v>34</v>
      </c>
    </row>
    <row r="21" spans="1:32" x14ac:dyDescent="0.25">
      <c r="A21" t="s">
        <v>35</v>
      </c>
      <c r="B21" t="s">
        <v>36</v>
      </c>
      <c r="G21" t="s">
        <v>200</v>
      </c>
      <c r="H21" t="s">
        <v>201</v>
      </c>
      <c r="I21" t="s">
        <v>202</v>
      </c>
      <c r="J21" t="s">
        <v>203</v>
      </c>
      <c r="K21" t="s">
        <v>204</v>
      </c>
      <c r="L21" t="s">
        <v>205</v>
      </c>
      <c r="M21" t="s">
        <v>206</v>
      </c>
      <c r="N21" t="s">
        <v>207</v>
      </c>
      <c r="O21" t="s">
        <v>208</v>
      </c>
      <c r="P21" t="s">
        <v>209</v>
      </c>
      <c r="Q21" t="s">
        <v>210</v>
      </c>
      <c r="R21" t="s">
        <v>211</v>
      </c>
      <c r="S21" t="s">
        <v>212</v>
      </c>
      <c r="X21" t="s">
        <v>213</v>
      </c>
      <c r="AD21" t="s">
        <v>214</v>
      </c>
      <c r="AE21" t="s">
        <v>215</v>
      </c>
      <c r="AF21" t="s">
        <v>124</v>
      </c>
    </row>
    <row r="22" spans="1:32" x14ac:dyDescent="0.25">
      <c r="G22" t="s">
        <v>216</v>
      </c>
      <c r="H22" t="s">
        <v>217</v>
      </c>
      <c r="I22">
        <v>25</v>
      </c>
      <c r="J22">
        <v>4</v>
      </c>
      <c r="K22">
        <v>3</v>
      </c>
      <c r="L22">
        <v>1</v>
      </c>
      <c r="M22">
        <v>0</v>
      </c>
      <c r="N22">
        <v>0</v>
      </c>
      <c r="S22" t="s">
        <v>218</v>
      </c>
      <c r="X22" s="79" t="s">
        <v>247</v>
      </c>
      <c r="Y22" s="79"/>
      <c r="Z22" s="79"/>
      <c r="AA22" s="79"/>
      <c r="AB22" s="79"/>
      <c r="AD22" t="s">
        <v>219</v>
      </c>
      <c r="AE22">
        <v>40</v>
      </c>
    </row>
    <row r="23" spans="1:32" x14ac:dyDescent="0.25">
      <c r="A23" t="s">
        <v>123</v>
      </c>
      <c r="B23" t="s">
        <v>124</v>
      </c>
      <c r="G23" t="s">
        <v>220</v>
      </c>
      <c r="H23" t="s">
        <v>221</v>
      </c>
      <c r="I23">
        <v>35</v>
      </c>
      <c r="J23">
        <v>5</v>
      </c>
      <c r="K23">
        <v>2</v>
      </c>
      <c r="L23">
        <v>3</v>
      </c>
      <c r="M23">
        <v>0</v>
      </c>
      <c r="N23">
        <v>0</v>
      </c>
      <c r="O23" t="s">
        <v>222</v>
      </c>
      <c r="P23" t="s">
        <v>223</v>
      </c>
      <c r="S23" t="s">
        <v>224</v>
      </c>
      <c r="X23" s="79"/>
      <c r="Y23" s="79"/>
      <c r="Z23" s="79"/>
      <c r="AA23" s="79"/>
      <c r="AB23" s="79"/>
      <c r="AD23" t="s">
        <v>225</v>
      </c>
      <c r="AE23">
        <v>50</v>
      </c>
    </row>
    <row r="24" spans="1:32" x14ac:dyDescent="0.25">
      <c r="A24" t="s">
        <v>125</v>
      </c>
      <c r="B24" t="s">
        <v>126</v>
      </c>
      <c r="G24" t="s">
        <v>226</v>
      </c>
      <c r="H24" t="s">
        <v>227</v>
      </c>
      <c r="I24">
        <v>45</v>
      </c>
      <c r="J24">
        <v>5</v>
      </c>
      <c r="K24">
        <v>0</v>
      </c>
      <c r="L24">
        <v>3</v>
      </c>
      <c r="M24">
        <v>2</v>
      </c>
      <c r="N24">
        <v>0</v>
      </c>
      <c r="O24" t="s">
        <v>222</v>
      </c>
      <c r="P24" t="s">
        <v>223</v>
      </c>
      <c r="Q24" t="s">
        <v>228</v>
      </c>
      <c r="R24" t="s">
        <v>229</v>
      </c>
      <c r="S24" t="s">
        <v>230</v>
      </c>
      <c r="X24" s="79"/>
      <c r="Y24" s="79"/>
      <c r="Z24" s="79"/>
      <c r="AA24" s="79"/>
      <c r="AB24" s="79"/>
      <c r="AD24" t="s">
        <v>146</v>
      </c>
      <c r="AE24">
        <v>0</v>
      </c>
      <c r="AF24" t="s">
        <v>231</v>
      </c>
    </row>
    <row r="25" spans="1:32" x14ac:dyDescent="0.25">
      <c r="A25" t="s">
        <v>127</v>
      </c>
      <c r="B25" t="s">
        <v>128</v>
      </c>
      <c r="X25" s="79"/>
      <c r="Y25" s="79"/>
      <c r="Z25" s="79"/>
      <c r="AA25" s="79"/>
      <c r="AB25" s="79"/>
      <c r="AD25" t="s">
        <v>222</v>
      </c>
      <c r="AE25">
        <v>0</v>
      </c>
      <c r="AF25" t="s">
        <v>232</v>
      </c>
    </row>
    <row r="26" spans="1:32" x14ac:dyDescent="0.25">
      <c r="A26" t="s">
        <v>129</v>
      </c>
      <c r="B26" t="s">
        <v>130</v>
      </c>
      <c r="X26" s="79"/>
      <c r="Y26" s="79"/>
      <c r="Z26" s="79"/>
      <c r="AA26" s="79"/>
      <c r="AB26" s="79"/>
      <c r="AD26" t="s">
        <v>229</v>
      </c>
      <c r="AE26">
        <v>0</v>
      </c>
      <c r="AF26" t="s">
        <v>232</v>
      </c>
    </row>
    <row r="27" spans="1:32" x14ac:dyDescent="0.25">
      <c r="A27" t="s">
        <v>131</v>
      </c>
      <c r="B27" t="s">
        <v>132</v>
      </c>
      <c r="X27" s="79"/>
      <c r="Y27" s="79"/>
      <c r="Z27" s="79"/>
      <c r="AA27" s="79"/>
      <c r="AB27" s="79"/>
      <c r="AD27" t="s">
        <v>228</v>
      </c>
      <c r="AE27">
        <v>25</v>
      </c>
      <c r="AF27" t="s">
        <v>233</v>
      </c>
    </row>
    <row r="28" spans="1:32" ht="15" customHeight="1" x14ac:dyDescent="0.25">
      <c r="A28" t="s">
        <v>133</v>
      </c>
      <c r="B28" t="s">
        <v>134</v>
      </c>
      <c r="X28" s="80" t="s">
        <v>248</v>
      </c>
      <c r="Y28" s="80"/>
      <c r="Z28" s="80"/>
      <c r="AA28" s="80"/>
      <c r="AB28" s="80"/>
    </row>
    <row r="29" spans="1:32" x14ac:dyDescent="0.25">
      <c r="A29" t="s">
        <v>135</v>
      </c>
      <c r="B29" t="s">
        <v>136</v>
      </c>
      <c r="X29" s="80"/>
      <c r="Y29" s="80"/>
      <c r="Z29" s="80"/>
      <c r="AA29" s="80"/>
      <c r="AB29" s="80"/>
    </row>
    <row r="30" spans="1:32" x14ac:dyDescent="0.25">
      <c r="A30" t="s">
        <v>137</v>
      </c>
      <c r="B30" t="s">
        <v>138</v>
      </c>
      <c r="X30" s="80"/>
      <c r="Y30" s="80"/>
      <c r="Z30" s="80"/>
      <c r="AA30" s="80"/>
      <c r="AB30" s="80"/>
    </row>
    <row r="31" spans="1:32" x14ac:dyDescent="0.25">
      <c r="A31" t="s">
        <v>139</v>
      </c>
      <c r="B31" t="s">
        <v>140</v>
      </c>
      <c r="X31" s="80"/>
      <c r="Y31" s="80"/>
      <c r="Z31" s="80"/>
      <c r="AA31" s="80"/>
      <c r="AB31" s="80"/>
    </row>
    <row r="32" spans="1:32" x14ac:dyDescent="0.25">
      <c r="X32" s="80"/>
      <c r="Y32" s="80"/>
      <c r="Z32" s="80"/>
      <c r="AA32" s="80"/>
      <c r="AB32" s="80"/>
    </row>
    <row r="33" spans="1:28" x14ac:dyDescent="0.25">
      <c r="A33" t="s">
        <v>141</v>
      </c>
      <c r="B33" t="s">
        <v>124</v>
      </c>
      <c r="X33" s="80"/>
      <c r="Y33" s="80"/>
      <c r="Z33" s="80"/>
      <c r="AA33" s="80"/>
      <c r="AB33" s="80"/>
    </row>
    <row r="34" spans="1:28" x14ac:dyDescent="0.25">
      <c r="A34" t="s">
        <v>142</v>
      </c>
      <c r="B34" t="s">
        <v>143</v>
      </c>
      <c r="X34" s="80"/>
      <c r="Y34" s="80"/>
      <c r="Z34" s="80"/>
      <c r="AA34" s="80"/>
      <c r="AB34" s="80"/>
    </row>
    <row r="35" spans="1:28" x14ac:dyDescent="0.25">
      <c r="A35" t="s">
        <v>144</v>
      </c>
      <c r="B35" t="s">
        <v>145</v>
      </c>
      <c r="X35" s="80"/>
      <c r="Y35" s="80"/>
      <c r="Z35" s="80"/>
      <c r="AA35" s="80"/>
      <c r="AB35" s="80"/>
    </row>
    <row r="36" spans="1:28" x14ac:dyDescent="0.25">
      <c r="X36" s="80"/>
      <c r="Y36" s="80"/>
      <c r="Z36" s="80"/>
      <c r="AA36" s="80"/>
      <c r="AB36" s="80"/>
    </row>
    <row r="37" spans="1:28" x14ac:dyDescent="0.25">
      <c r="A37" t="s">
        <v>147</v>
      </c>
      <c r="B37" t="s">
        <v>124</v>
      </c>
      <c r="X37" s="80"/>
      <c r="Y37" s="80"/>
      <c r="Z37" s="80"/>
      <c r="AA37" s="80"/>
      <c r="AB37" s="80"/>
    </row>
    <row r="38" spans="1:28" x14ac:dyDescent="0.25">
      <c r="A38" t="s">
        <v>148</v>
      </c>
      <c r="B38" s="1" t="s">
        <v>149</v>
      </c>
      <c r="X38" s="80"/>
      <c r="Y38" s="80"/>
      <c r="Z38" s="80"/>
      <c r="AA38" s="80"/>
      <c r="AB38" s="80"/>
    </row>
    <row r="39" spans="1:28" x14ac:dyDescent="0.25">
      <c r="A39" t="s">
        <v>150</v>
      </c>
      <c r="B39" t="s">
        <v>151</v>
      </c>
      <c r="X39" s="80"/>
      <c r="Y39" s="80"/>
      <c r="Z39" s="80"/>
      <c r="AA39" s="80"/>
      <c r="AB39" s="80"/>
    </row>
    <row r="40" spans="1:28" x14ac:dyDescent="0.25">
      <c r="A40" t="s">
        <v>152</v>
      </c>
      <c r="B40" t="s">
        <v>153</v>
      </c>
      <c r="X40" s="80" t="s">
        <v>249</v>
      </c>
      <c r="Y40" s="81"/>
      <c r="Z40" s="81"/>
      <c r="AA40" s="81"/>
      <c r="AB40" s="81"/>
    </row>
    <row r="41" spans="1:28" x14ac:dyDescent="0.25">
      <c r="A41" t="s">
        <v>154</v>
      </c>
      <c r="B41" t="s">
        <v>155</v>
      </c>
      <c r="X41" s="81"/>
      <c r="Y41" s="81"/>
      <c r="Z41" s="81"/>
      <c r="AA41" s="81"/>
      <c r="AB41" s="81"/>
    </row>
    <row r="42" spans="1:28" x14ac:dyDescent="0.25">
      <c r="A42" t="s">
        <v>156</v>
      </c>
      <c r="B42" t="s">
        <v>157</v>
      </c>
      <c r="X42" s="81"/>
      <c r="Y42" s="81"/>
      <c r="Z42" s="81"/>
      <c r="AA42" s="81"/>
      <c r="AB42" s="81"/>
    </row>
    <row r="43" spans="1:28" x14ac:dyDescent="0.25">
      <c r="A43" t="s">
        <v>158</v>
      </c>
      <c r="B43" t="s">
        <v>159</v>
      </c>
      <c r="X43" s="81"/>
      <c r="Y43" s="81"/>
      <c r="Z43" s="81"/>
      <c r="AA43" s="81"/>
      <c r="AB43" s="81"/>
    </row>
    <row r="44" spans="1:28" x14ac:dyDescent="0.25">
      <c r="A44" t="s">
        <v>160</v>
      </c>
      <c r="B44" t="s">
        <v>161</v>
      </c>
      <c r="X44" s="81"/>
      <c r="Y44" s="81"/>
      <c r="Z44" s="81"/>
      <c r="AA44" s="81"/>
      <c r="AB44" s="81"/>
    </row>
    <row r="45" spans="1:28" x14ac:dyDescent="0.25">
      <c r="X45" s="81"/>
      <c r="Y45" s="81"/>
      <c r="Z45" s="81"/>
      <c r="AA45" s="81"/>
      <c r="AB45" s="81"/>
    </row>
    <row r="46" spans="1:28" x14ac:dyDescent="0.25">
      <c r="X46" s="81"/>
      <c r="Y46" s="81"/>
      <c r="Z46" s="81"/>
      <c r="AA46" s="81"/>
      <c r="AB46" s="81"/>
    </row>
    <row r="47" spans="1:28" x14ac:dyDescent="0.25">
      <c r="X47" s="81"/>
      <c r="Y47" s="81"/>
      <c r="Z47" s="81"/>
      <c r="AA47" s="81"/>
      <c r="AB47" s="81"/>
    </row>
    <row r="48" spans="1:28" x14ac:dyDescent="0.25">
      <c r="X48" s="81"/>
      <c r="Y48" s="81"/>
      <c r="Z48" s="81"/>
      <c r="AA48" s="81"/>
      <c r="AB48" s="81"/>
    </row>
    <row r="49" spans="24:28" x14ac:dyDescent="0.25">
      <c r="X49" s="81"/>
      <c r="Y49" s="81"/>
      <c r="Z49" s="81"/>
      <c r="AA49" s="81"/>
      <c r="AB49" s="81"/>
    </row>
    <row r="50" spans="24:28" x14ac:dyDescent="0.25">
      <c r="X50" s="81"/>
      <c r="Y50" s="81"/>
      <c r="Z50" s="81"/>
      <c r="AA50" s="81"/>
      <c r="AB50" s="81"/>
    </row>
    <row r="51" spans="24:28" x14ac:dyDescent="0.25">
      <c r="X51" s="80" t="s">
        <v>250</v>
      </c>
      <c r="Y51" s="81"/>
      <c r="Z51" s="81"/>
      <c r="AA51" s="81"/>
      <c r="AB51" s="81"/>
    </row>
    <row r="52" spans="24:28" x14ac:dyDescent="0.25">
      <c r="X52" s="81"/>
      <c r="Y52" s="81"/>
      <c r="Z52" s="81"/>
      <c r="AA52" s="81"/>
      <c r="AB52" s="81"/>
    </row>
    <row r="53" spans="24:28" x14ac:dyDescent="0.25">
      <c r="X53" s="81"/>
      <c r="Y53" s="81"/>
      <c r="Z53" s="81"/>
      <c r="AA53" s="81"/>
      <c r="AB53" s="81"/>
    </row>
    <row r="54" spans="24:28" x14ac:dyDescent="0.25">
      <c r="X54" s="81"/>
      <c r="Y54" s="81"/>
      <c r="Z54" s="81"/>
      <c r="AA54" s="81"/>
      <c r="AB54" s="81"/>
    </row>
    <row r="55" spans="24:28" x14ac:dyDescent="0.25">
      <c r="X55" s="81"/>
      <c r="Y55" s="81"/>
      <c r="Z55" s="81"/>
      <c r="AA55" s="81"/>
      <c r="AB55" s="81"/>
    </row>
  </sheetData>
  <mergeCells count="4">
    <mergeCell ref="X22:AB27"/>
    <mergeCell ref="X28:AB39"/>
    <mergeCell ref="X40:AB50"/>
    <mergeCell ref="X51:AB55"/>
  </mergeCells>
  <pageMargins left="0.7" right="0.7" top="0.75" bottom="0.75" header="0.3" footer="0.3"/>
  <tableParts count="13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D887A-169D-4989-BC5A-DDB41E4A8ABA}">
  <dimension ref="A1:G138"/>
  <sheetViews>
    <sheetView showZeros="0" zoomScale="85" zoomScaleNormal="85" workbookViewId="0">
      <selection activeCell="B15" sqref="B15:B16"/>
    </sheetView>
  </sheetViews>
  <sheetFormatPr defaultRowHeight="15" x14ac:dyDescent="0.25"/>
  <cols>
    <col min="1" max="1" width="3.7109375" customWidth="1"/>
    <col min="2" max="2" width="15.5703125" bestFit="1" customWidth="1"/>
    <col min="3" max="7" width="20.7109375" customWidth="1"/>
  </cols>
  <sheetData>
    <row r="1" spans="1:7" ht="9" customHeight="1" thickBot="1" x14ac:dyDescent="0.3"/>
    <row r="2" spans="1:7" ht="24" customHeight="1" thickTop="1" x14ac:dyDescent="0.25">
      <c r="A2" s="45" t="s">
        <v>176</v>
      </c>
      <c r="B2" s="46"/>
      <c r="C2" s="46"/>
      <c r="D2" s="41" t="s">
        <v>3</v>
      </c>
      <c r="E2" s="52" t="s">
        <v>187</v>
      </c>
      <c r="F2" s="53"/>
      <c r="G2" s="54"/>
    </row>
    <row r="3" spans="1:7" ht="15" customHeight="1" x14ac:dyDescent="0.25">
      <c r="A3" s="47"/>
      <c r="B3" s="48"/>
      <c r="C3" s="48"/>
      <c r="D3" s="42"/>
      <c r="E3" s="49" t="str">
        <f>_xlfn.IFNA(VLOOKUP(D2,Role[],2,0),"")</f>
        <v>Break/Brace Actions and Resist Environmental Hazards.</v>
      </c>
      <c r="F3" s="50"/>
      <c r="G3" s="51"/>
    </row>
    <row r="4" spans="1:7" ht="23.25" customHeight="1" x14ac:dyDescent="0.25">
      <c r="A4" s="68" t="s">
        <v>174</v>
      </c>
      <c r="B4" s="69"/>
      <c r="C4" s="3" t="s">
        <v>184</v>
      </c>
      <c r="D4" s="3" t="s">
        <v>166</v>
      </c>
      <c r="E4" s="3" t="s">
        <v>162</v>
      </c>
      <c r="F4" s="3" t="s">
        <v>163</v>
      </c>
      <c r="G4" s="6" t="s">
        <v>164</v>
      </c>
    </row>
    <row r="5" spans="1:7" ht="30" customHeight="1" thickBot="1" x14ac:dyDescent="0.3">
      <c r="A5" s="70"/>
      <c r="B5" s="71"/>
      <c r="C5" s="7" t="str">
        <f>_xlfn.IFNA(VLOOKUP(Crew!C6,EVA[],3,0),"")</f>
        <v>8"</v>
      </c>
      <c r="D5" s="7" t="str">
        <f>_xlfn.IFNA(VLOOKUP(Crew!C6,EVA[],2,0),"")</f>
        <v>D4</v>
      </c>
      <c r="E5" s="7" t="s">
        <v>185</v>
      </c>
      <c r="F5" s="7" t="s">
        <v>186</v>
      </c>
      <c r="G5" s="8" t="s">
        <v>50</v>
      </c>
    </row>
    <row r="6" spans="1:7" ht="20.25" thickTop="1" x14ac:dyDescent="0.25">
      <c r="A6" s="55" t="s">
        <v>170</v>
      </c>
      <c r="B6" s="76" t="s">
        <v>165</v>
      </c>
      <c r="C6" s="11" t="s">
        <v>43</v>
      </c>
      <c r="D6" s="43" t="str">
        <f>_xlfn.IFNA(VLOOKUP(C6,EVA[],6,0),"")</f>
        <v>Lightweight and flexible.</v>
      </c>
      <c r="E6" s="43"/>
      <c r="F6" s="43"/>
      <c r="G6" s="44"/>
    </row>
    <row r="7" spans="1:7" ht="19.5" x14ac:dyDescent="0.25">
      <c r="A7" s="56"/>
      <c r="B7" s="69"/>
      <c r="C7" s="5" t="s">
        <v>108</v>
      </c>
      <c r="D7" s="60" t="str">
        <f>_xlfn.IFNA(VLOOKUP(C7,EVAMods[],2,0),"")</f>
        <v>Ignore Darkness. Normal LOS for ranged.</v>
      </c>
      <c r="E7" s="60"/>
      <c r="F7" s="60"/>
      <c r="G7" s="61"/>
    </row>
    <row r="8" spans="1:7" ht="20.25" x14ac:dyDescent="0.3">
      <c r="A8" s="56"/>
      <c r="B8" s="19" t="s">
        <v>167</v>
      </c>
      <c r="C8" s="12" t="s">
        <v>14</v>
      </c>
      <c r="D8" s="60" t="str">
        <f>_xlfn.IFNA(VLOOKUP(C8,Knacks[],2,0),"")</f>
        <v>Double value of Salvage Roll for POIs.</v>
      </c>
      <c r="E8" s="60"/>
      <c r="F8" s="60"/>
      <c r="G8" s="61"/>
    </row>
    <row r="9" spans="1:7" ht="20.25" x14ac:dyDescent="0.3">
      <c r="A9" s="56"/>
      <c r="B9" s="19" t="s">
        <v>168</v>
      </c>
      <c r="C9" s="12" t="s">
        <v>35</v>
      </c>
      <c r="D9" s="60" t="str">
        <f>_xlfn.IFNA(VLOOKUP(C9,Rattles[],2,0),"")</f>
        <v>No Free Move on first turn in new MHU.</v>
      </c>
      <c r="E9" s="60"/>
      <c r="F9" s="60"/>
      <c r="G9" s="61"/>
    </row>
    <row r="10" spans="1:7" ht="20.25" x14ac:dyDescent="0.3">
      <c r="A10" s="56"/>
      <c r="B10" s="19" t="s">
        <v>169</v>
      </c>
      <c r="C10" s="12" t="s">
        <v>133</v>
      </c>
      <c r="D10" s="60" t="str">
        <f>_xlfn.IFNA(VLOOKUP(C10,Vets[],2,0),"")</f>
        <v>Once per MHU. Ignoreone Environmental Hazard penalty when acting on a POI.</v>
      </c>
      <c r="E10" s="60"/>
      <c r="F10" s="60"/>
      <c r="G10" s="61"/>
    </row>
    <row r="11" spans="1:7" ht="20.25" x14ac:dyDescent="0.3">
      <c r="A11" s="56"/>
      <c r="B11" s="19" t="s">
        <v>173</v>
      </c>
      <c r="C11" s="12"/>
      <c r="D11" s="60" t="str">
        <f>_xlfn.IFNA(VLOOKUP(C11,Training[],2,0),"")</f>
        <v/>
      </c>
      <c r="E11" s="60"/>
      <c r="F11" s="60"/>
      <c r="G11" s="61"/>
    </row>
    <row r="12" spans="1:7" ht="21" thickBot="1" x14ac:dyDescent="0.35">
      <c r="A12" s="57"/>
      <c r="B12" s="20" t="s">
        <v>147</v>
      </c>
      <c r="C12" s="13"/>
      <c r="D12" s="62" t="str">
        <f>_xlfn.IFNA(VLOOKUP(C12,Scars[],2,0),"")</f>
        <v/>
      </c>
      <c r="E12" s="62"/>
      <c r="F12" s="62"/>
      <c r="G12" s="63"/>
    </row>
    <row r="13" spans="1:7" ht="20.100000000000001" customHeight="1" thickTop="1" x14ac:dyDescent="0.35">
      <c r="A13" s="55" t="s">
        <v>171</v>
      </c>
      <c r="B13" s="72" t="s">
        <v>70</v>
      </c>
      <c r="C13" s="16" t="str">
        <f>_xlfn.IFNA(VLOOKUP(B13,Ranged[],2,0),"")</f>
        <v>0-3"</v>
      </c>
      <c r="D13" s="58" t="str">
        <f>_xlfn.IFNA(VLOOKUP(B13,Ranged[],3,0),"")</f>
        <v>-1 to Defender's DD. No wounds. Declare before roll: Knock Prone or Pull Adjacent.</v>
      </c>
      <c r="E13" s="58"/>
      <c r="F13" s="58"/>
      <c r="G13" s="59"/>
    </row>
    <row r="14" spans="1:7" ht="20.100000000000001" customHeight="1" thickBot="1" x14ac:dyDescent="0.3">
      <c r="A14" s="56"/>
      <c r="B14" s="73"/>
      <c r="C14" s="15" t="s">
        <v>117</v>
      </c>
      <c r="D14" s="64" t="str">
        <f>_xlfn.IFNA(VLOOKUP(C14,WPNMods[],2,0),"")</f>
        <v>+1 to hit</v>
      </c>
      <c r="E14" s="64"/>
      <c r="F14" s="64"/>
      <c r="G14" s="65"/>
    </row>
    <row r="15" spans="1:7" ht="20.100000000000001" customHeight="1" x14ac:dyDescent="0.25">
      <c r="A15" s="56"/>
      <c r="B15" s="74" t="s">
        <v>61</v>
      </c>
      <c r="C15" s="14" t="s">
        <v>177</v>
      </c>
      <c r="D15" s="66" t="str">
        <f>_xlfn.IFNA(VLOOKUP(B15,Melee[],2,0),"")</f>
        <v>Blocked Hits force second DD Roll to Stun. Robots -2 DD.</v>
      </c>
      <c r="E15" s="66"/>
      <c r="F15" s="66"/>
      <c r="G15" s="67"/>
    </row>
    <row r="16" spans="1:7" ht="20.100000000000001" customHeight="1" thickBot="1" x14ac:dyDescent="0.3">
      <c r="A16" s="57"/>
      <c r="B16" s="75"/>
      <c r="C16" s="9" t="s">
        <v>120</v>
      </c>
      <c r="D16" s="62" t="str">
        <f>_xlfn.IFNA(VLOOKUP(C16,WPNMods[],2,0),"")</f>
        <v>+1 to hit.</v>
      </c>
      <c r="E16" s="62"/>
      <c r="F16" s="62"/>
      <c r="G16" s="63"/>
    </row>
    <row r="17" spans="1:7" ht="20.25" thickTop="1" x14ac:dyDescent="0.25">
      <c r="A17" s="55" t="s">
        <v>172</v>
      </c>
      <c r="B17" s="11" t="s">
        <v>87</v>
      </c>
      <c r="C17" s="58" t="str">
        <f>_xlfn.IFNA(VLOOKUP(B17,Items[],2,0),"")</f>
        <v>Open fused panel. Bypasses Scan/Hack.</v>
      </c>
      <c r="D17" s="58"/>
      <c r="E17" s="58"/>
      <c r="F17" s="58"/>
      <c r="G17" s="59"/>
    </row>
    <row r="18" spans="1:7" ht="19.5" x14ac:dyDescent="0.25">
      <c r="A18" s="56"/>
      <c r="B18" s="12" t="s">
        <v>88</v>
      </c>
      <c r="C18" s="60" t="str">
        <f>_xlfn.IFNA(VLOOKUP(B18,Items[],2,0),"")</f>
        <v>Remove darkness in MHU for one turn.</v>
      </c>
      <c r="D18" s="60"/>
      <c r="E18" s="60"/>
      <c r="F18" s="60"/>
      <c r="G18" s="61"/>
    </row>
    <row r="19" spans="1:7" ht="19.5" x14ac:dyDescent="0.25">
      <c r="A19" s="56"/>
      <c r="B19" s="12" t="s">
        <v>87</v>
      </c>
      <c r="C19" s="60" t="str">
        <f>_xlfn.IFNA(VLOOKUP(B19,Items[],2,0),"")</f>
        <v>Open fused panel. Bypasses Scan/Hack.</v>
      </c>
      <c r="D19" s="60"/>
      <c r="E19" s="60"/>
      <c r="F19" s="60"/>
      <c r="G19" s="61"/>
    </row>
    <row r="20" spans="1:7" ht="20.25" thickBot="1" x14ac:dyDescent="0.3">
      <c r="A20" s="56"/>
      <c r="B20" s="12"/>
      <c r="C20" s="60" t="str">
        <f>_xlfn.IFNA(VLOOKUP(B20,Items[],2,0),"")</f>
        <v/>
      </c>
      <c r="D20" s="60"/>
      <c r="E20" s="60"/>
      <c r="F20" s="60"/>
      <c r="G20" s="61"/>
    </row>
    <row r="21" spans="1:7" ht="19.5" hidden="1" x14ac:dyDescent="0.25">
      <c r="A21" s="56"/>
      <c r="B21" s="12"/>
      <c r="C21" s="60" t="str">
        <f>_xlfn.IFNA(VLOOKUP(B21,Items[],2,0),"")</f>
        <v/>
      </c>
      <c r="D21" s="60"/>
      <c r="E21" s="60"/>
      <c r="F21" s="60"/>
      <c r="G21" s="61"/>
    </row>
    <row r="22" spans="1:7" ht="20.25" hidden="1" thickBot="1" x14ac:dyDescent="0.3">
      <c r="A22" s="57"/>
      <c r="B22" s="13"/>
      <c r="C22" s="62" t="str">
        <f>_xlfn.IFNA(VLOOKUP(B22,Items[],2,0),"")</f>
        <v/>
      </c>
      <c r="D22" s="62"/>
      <c r="E22" s="62"/>
      <c r="F22" s="62"/>
      <c r="G22" s="63"/>
    </row>
    <row r="23" spans="1:7" ht="15.75" thickTop="1" x14ac:dyDescent="0.25">
      <c r="A23" s="17"/>
      <c r="B23" s="17"/>
      <c r="C23" s="17"/>
      <c r="D23" s="17"/>
      <c r="E23" s="17"/>
      <c r="F23" s="17"/>
      <c r="G23" s="17"/>
    </row>
    <row r="24" spans="1:7" ht="15.75" thickBot="1" x14ac:dyDescent="0.3"/>
    <row r="25" spans="1:7" ht="26.25" thickTop="1" x14ac:dyDescent="0.25">
      <c r="A25" s="45" t="s">
        <v>176</v>
      </c>
      <c r="B25" s="46"/>
      <c r="C25" s="46"/>
      <c r="D25" s="41" t="s">
        <v>4</v>
      </c>
      <c r="E25" s="52" t="s">
        <v>187</v>
      </c>
      <c r="F25" s="53"/>
      <c r="G25" s="54"/>
    </row>
    <row r="26" spans="1:7" ht="15.75" x14ac:dyDescent="0.25">
      <c r="A26" s="47"/>
      <c r="B26" s="48"/>
      <c r="C26" s="48"/>
      <c r="D26" s="42"/>
      <c r="E26" s="49" t="str">
        <f>_xlfn.IFNA(VLOOKUP(D25,Role[],2,0),"")</f>
        <v>Scan/Hack and Resist Stress.</v>
      </c>
      <c r="F26" s="50"/>
      <c r="G26" s="51"/>
    </row>
    <row r="27" spans="1:7" ht="18.75" x14ac:dyDescent="0.25">
      <c r="A27" s="68" t="s">
        <v>174</v>
      </c>
      <c r="B27" s="69"/>
      <c r="C27" s="3" t="s">
        <v>184</v>
      </c>
      <c r="D27" s="3" t="s">
        <v>166</v>
      </c>
      <c r="E27" s="3" t="s">
        <v>162</v>
      </c>
      <c r="F27" s="3" t="s">
        <v>163</v>
      </c>
      <c r="G27" s="6" t="s">
        <v>164</v>
      </c>
    </row>
    <row r="28" spans="1:7" ht="33" thickBot="1" x14ac:dyDescent="0.3">
      <c r="A28" s="70"/>
      <c r="B28" s="71"/>
      <c r="C28" s="7" t="str">
        <f>_xlfn.IFNA(VLOOKUP(Crew!C29,EVA[],3,0),"")</f>
        <v>6"</v>
      </c>
      <c r="D28" s="7" t="str">
        <f>_xlfn.IFNA(VLOOKUP(Crew!C29,EVA[],2,0),"")</f>
        <v>D4+1</v>
      </c>
      <c r="E28" s="7" t="s">
        <v>185</v>
      </c>
      <c r="F28" s="7" t="s">
        <v>186</v>
      </c>
      <c r="G28" s="8" t="s">
        <v>50</v>
      </c>
    </row>
    <row r="29" spans="1:7" ht="20.25" thickTop="1" x14ac:dyDescent="0.25">
      <c r="A29" s="55" t="s">
        <v>170</v>
      </c>
      <c r="B29" s="76" t="s">
        <v>165</v>
      </c>
      <c r="C29" s="11" t="s">
        <v>46</v>
      </c>
      <c r="D29" s="58" t="str">
        <f>_xlfn.IFNA(VLOOKUP(C29,EVA[],6,0),"")</f>
        <v>Standard issue.</v>
      </c>
      <c r="E29" s="58"/>
      <c r="F29" s="58"/>
      <c r="G29" s="59"/>
    </row>
    <row r="30" spans="1:7" ht="19.5" x14ac:dyDescent="0.25">
      <c r="A30" s="56"/>
      <c r="B30" s="69"/>
      <c r="C30" s="5" t="s">
        <v>104</v>
      </c>
      <c r="D30" s="60" t="str">
        <f>_xlfn.IFNA(VLOOKUP(C30,EVAMods[],2,0),"")</f>
        <v>Ignore Zero-G. +1 v Hull Shift/Hull Breach</v>
      </c>
      <c r="E30" s="60"/>
      <c r="F30" s="60"/>
      <c r="G30" s="61"/>
    </row>
    <row r="31" spans="1:7" ht="20.25" x14ac:dyDescent="0.3">
      <c r="A31" s="56"/>
      <c r="B31" s="19" t="s">
        <v>167</v>
      </c>
      <c r="C31" s="12" t="s">
        <v>14</v>
      </c>
      <c r="D31" s="60" t="str">
        <f>_xlfn.IFNA(VLOOKUP(C31,Knacks[],2,0),"")</f>
        <v>Double value of Salvage Roll for POIs.</v>
      </c>
      <c r="E31" s="60"/>
      <c r="F31" s="60"/>
      <c r="G31" s="61"/>
    </row>
    <row r="32" spans="1:7" ht="20.25" x14ac:dyDescent="0.3">
      <c r="A32" s="56"/>
      <c r="B32" s="19" t="s">
        <v>168</v>
      </c>
      <c r="C32" s="12" t="s">
        <v>35</v>
      </c>
      <c r="D32" s="60" t="str">
        <f>_xlfn.IFNA(VLOOKUP(C32,Rattles[],2,0),"")</f>
        <v>No Free Move on first turn in new MHU.</v>
      </c>
      <c r="E32" s="60"/>
      <c r="F32" s="60"/>
      <c r="G32" s="61"/>
    </row>
    <row r="33" spans="1:7" ht="20.25" x14ac:dyDescent="0.3">
      <c r="A33" s="56"/>
      <c r="B33" s="19" t="s">
        <v>169</v>
      </c>
      <c r="C33" s="12" t="s">
        <v>131</v>
      </c>
      <c r="D33" s="60" t="str">
        <f>_xlfn.IFNA(VLOOKUP(C33,Vets[],2,0),"")</f>
        <v>Once per MHU. When stunned or breached, move half distance for free.</v>
      </c>
      <c r="E33" s="60"/>
      <c r="F33" s="60"/>
      <c r="G33" s="61"/>
    </row>
    <row r="34" spans="1:7" ht="20.25" x14ac:dyDescent="0.3">
      <c r="A34" s="56"/>
      <c r="B34" s="19" t="s">
        <v>173</v>
      </c>
      <c r="C34" s="12" t="s">
        <v>144</v>
      </c>
      <c r="D34" s="60" t="str">
        <f>_xlfn.IFNA(VLOOKUP(C34,Training[],2,0),"")</f>
        <v>May split free move before and after single Vital-related action.</v>
      </c>
      <c r="E34" s="60"/>
      <c r="F34" s="60"/>
      <c r="G34" s="61"/>
    </row>
    <row r="35" spans="1:7" ht="21" thickBot="1" x14ac:dyDescent="0.35">
      <c r="A35" s="57"/>
      <c r="B35" s="20" t="s">
        <v>147</v>
      </c>
      <c r="C35" s="13" t="s">
        <v>152</v>
      </c>
      <c r="D35" s="62" t="str">
        <f>_xlfn.IFNA(VLOOKUP(C35,Scars[],2,0),"")</f>
        <v>On first successful Load action, cannot Push for this turn.</v>
      </c>
      <c r="E35" s="62"/>
      <c r="F35" s="62"/>
      <c r="G35" s="63"/>
    </row>
    <row r="36" spans="1:7" ht="21.75" thickTop="1" x14ac:dyDescent="0.35">
      <c r="A36" s="55" t="s">
        <v>171</v>
      </c>
      <c r="B36" s="72" t="s">
        <v>67</v>
      </c>
      <c r="C36" s="16" t="str">
        <f>_xlfn.IFNA(VLOOKUP(B36,Ranged[],2,0),"")</f>
        <v>0-3"</v>
      </c>
      <c r="D36" s="58" t="str">
        <f>_xlfn.IFNA(VLOOKUP(B36,Ranged[],3,0),"")</f>
        <v>-4 to Defender's DD. | -1 U-Slot</v>
      </c>
      <c r="E36" s="58"/>
      <c r="F36" s="58"/>
      <c r="G36" s="59"/>
    </row>
    <row r="37" spans="1:7" ht="19.5" x14ac:dyDescent="0.25">
      <c r="A37" s="56"/>
      <c r="B37" s="77"/>
      <c r="C37" s="5" t="s">
        <v>117</v>
      </c>
      <c r="D37" s="60" t="str">
        <f>_xlfn.IFNA(VLOOKUP(C37,WPNMods[],2,0),"")</f>
        <v>+1 to hit</v>
      </c>
      <c r="E37" s="60"/>
      <c r="F37" s="60"/>
      <c r="G37" s="61"/>
    </row>
    <row r="38" spans="1:7" ht="15.75" x14ac:dyDescent="0.25">
      <c r="A38" s="56"/>
      <c r="B38" s="78" t="s">
        <v>58</v>
      </c>
      <c r="C38" s="10" t="s">
        <v>177</v>
      </c>
      <c r="D38" s="60" t="str">
        <f>_xlfn.IFNA(VLOOKUP(B38,Melee[],2,0),"")</f>
        <v>-2" Move. -1 Melee. +2 Break/Brace. -4 Defender's DD.</v>
      </c>
      <c r="E38" s="60"/>
      <c r="F38" s="60"/>
      <c r="G38" s="61"/>
    </row>
    <row r="39" spans="1:7" ht="20.25" thickBot="1" x14ac:dyDescent="0.3">
      <c r="A39" s="57"/>
      <c r="B39" s="75"/>
      <c r="C39" s="9" t="s">
        <v>120</v>
      </c>
      <c r="D39" s="62" t="str">
        <f>_xlfn.IFNA(VLOOKUP(C39,WPNMods[],2,0),"")</f>
        <v>+1 to hit.</v>
      </c>
      <c r="E39" s="62"/>
      <c r="F39" s="62"/>
      <c r="G39" s="63"/>
    </row>
    <row r="40" spans="1:7" ht="20.25" thickTop="1" x14ac:dyDescent="0.25">
      <c r="A40" s="55" t="s">
        <v>172</v>
      </c>
      <c r="B40" s="11" t="s">
        <v>87</v>
      </c>
      <c r="C40" s="58" t="str">
        <f>_xlfn.IFNA(VLOOKUP(B40,Items[],2,0),"")</f>
        <v>Open fused panel. Bypasses Scan/Hack.</v>
      </c>
      <c r="D40" s="58"/>
      <c r="E40" s="58"/>
      <c r="F40" s="58"/>
      <c r="G40" s="59"/>
    </row>
    <row r="41" spans="1:7" ht="19.5" x14ac:dyDescent="0.25">
      <c r="A41" s="56"/>
      <c r="B41" s="12" t="s">
        <v>88</v>
      </c>
      <c r="C41" s="60" t="str">
        <f>_xlfn.IFNA(VLOOKUP(B41,Items[],2,0),"")</f>
        <v>Remove darkness in MHU for one turn.</v>
      </c>
      <c r="D41" s="60"/>
      <c r="E41" s="60"/>
      <c r="F41" s="60"/>
      <c r="G41" s="61"/>
    </row>
    <row r="42" spans="1:7" ht="19.5" x14ac:dyDescent="0.25">
      <c r="A42" s="56"/>
      <c r="B42" s="12" t="s">
        <v>87</v>
      </c>
      <c r="C42" s="60" t="str">
        <f>_xlfn.IFNA(VLOOKUP(B42,Items[],2,0),"")</f>
        <v>Open fused panel. Bypasses Scan/Hack.</v>
      </c>
      <c r="D42" s="60"/>
      <c r="E42" s="60"/>
      <c r="F42" s="60"/>
      <c r="G42" s="61"/>
    </row>
    <row r="43" spans="1:7" ht="19.5" x14ac:dyDescent="0.25">
      <c r="A43" s="56"/>
      <c r="B43" s="12"/>
      <c r="C43" s="60" t="str">
        <f>_xlfn.IFNA(VLOOKUP(B43,Items[],2,0),"")</f>
        <v/>
      </c>
      <c r="D43" s="60"/>
      <c r="E43" s="60"/>
      <c r="F43" s="60"/>
      <c r="G43" s="61"/>
    </row>
    <row r="44" spans="1:7" ht="19.5" x14ac:dyDescent="0.25">
      <c r="A44" s="56"/>
      <c r="B44" s="12"/>
      <c r="C44" s="60" t="str">
        <f>_xlfn.IFNA(VLOOKUP(B44,Items[],2,0),"")</f>
        <v/>
      </c>
      <c r="D44" s="60"/>
      <c r="E44" s="60"/>
      <c r="F44" s="60"/>
      <c r="G44" s="61"/>
    </row>
    <row r="45" spans="1:7" ht="20.25" thickBot="1" x14ac:dyDescent="0.3">
      <c r="A45" s="57"/>
      <c r="B45" s="13"/>
      <c r="C45" s="62" t="str">
        <f>_xlfn.IFNA(VLOOKUP(B45,Items[],2,0),"")</f>
        <v/>
      </c>
      <c r="D45" s="62"/>
      <c r="E45" s="62"/>
      <c r="F45" s="62"/>
      <c r="G45" s="63"/>
    </row>
    <row r="46" spans="1:7" ht="15.75" thickTop="1" x14ac:dyDescent="0.25"/>
    <row r="47" spans="1:7" ht="15.75" thickBot="1" x14ac:dyDescent="0.3"/>
    <row r="48" spans="1:7" ht="26.25" thickTop="1" x14ac:dyDescent="0.25">
      <c r="A48" s="45" t="s">
        <v>176</v>
      </c>
      <c r="B48" s="46"/>
      <c r="C48" s="46"/>
      <c r="D48" s="41" t="s">
        <v>4</v>
      </c>
      <c r="E48" s="52" t="s">
        <v>187</v>
      </c>
      <c r="F48" s="53"/>
      <c r="G48" s="54"/>
    </row>
    <row r="49" spans="1:7" ht="15.75" x14ac:dyDescent="0.25">
      <c r="A49" s="47"/>
      <c r="B49" s="48"/>
      <c r="C49" s="48"/>
      <c r="D49" s="42"/>
      <c r="E49" s="49" t="str">
        <f>_xlfn.IFNA(VLOOKUP(D48,Role[],2,0),"")</f>
        <v>Scan/Hack and Resist Stress.</v>
      </c>
      <c r="F49" s="50"/>
      <c r="G49" s="51"/>
    </row>
    <row r="50" spans="1:7" ht="18.75" x14ac:dyDescent="0.25">
      <c r="A50" s="68" t="s">
        <v>174</v>
      </c>
      <c r="B50" s="69"/>
      <c r="C50" s="3" t="s">
        <v>184</v>
      </c>
      <c r="D50" s="3" t="s">
        <v>166</v>
      </c>
      <c r="E50" s="3" t="s">
        <v>162</v>
      </c>
      <c r="F50" s="3" t="s">
        <v>163</v>
      </c>
      <c r="G50" s="6" t="s">
        <v>164</v>
      </c>
    </row>
    <row r="51" spans="1:7" ht="33" thickBot="1" x14ac:dyDescent="0.3">
      <c r="A51" s="70"/>
      <c r="B51" s="71"/>
      <c r="C51" s="7" t="str">
        <f>_xlfn.IFNA(VLOOKUP(Crew!C52,EVA[],3,0),"")</f>
        <v>6"</v>
      </c>
      <c r="D51" s="7" t="str">
        <f>_xlfn.IFNA(VLOOKUP(Crew!C52,EVA[],2,0),"")</f>
        <v>D4+1</v>
      </c>
      <c r="E51" s="7" t="s">
        <v>185</v>
      </c>
      <c r="F51" s="7" t="s">
        <v>186</v>
      </c>
      <c r="G51" s="8" t="s">
        <v>50</v>
      </c>
    </row>
    <row r="52" spans="1:7" ht="20.25" thickTop="1" x14ac:dyDescent="0.25">
      <c r="A52" s="55" t="s">
        <v>170</v>
      </c>
      <c r="B52" s="76" t="s">
        <v>165</v>
      </c>
      <c r="C52" s="11" t="s">
        <v>46</v>
      </c>
      <c r="D52" s="58" t="str">
        <f>_xlfn.IFNA(VLOOKUP(C52,EVA[],6,0),"")</f>
        <v>Standard issue.</v>
      </c>
      <c r="E52" s="58"/>
      <c r="F52" s="58"/>
      <c r="G52" s="59"/>
    </row>
    <row r="53" spans="1:7" ht="19.5" x14ac:dyDescent="0.25">
      <c r="A53" s="56"/>
      <c r="B53" s="69"/>
      <c r="C53" s="5" t="s">
        <v>108</v>
      </c>
      <c r="D53" s="60" t="str">
        <f>_xlfn.IFNA(VLOOKUP(C53,EVAMods[],2,0),"")</f>
        <v>Ignore Darkness. Normal LOS for ranged.</v>
      </c>
      <c r="E53" s="60"/>
      <c r="F53" s="60"/>
      <c r="G53" s="61"/>
    </row>
    <row r="54" spans="1:7" ht="20.25" x14ac:dyDescent="0.3">
      <c r="A54" s="56"/>
      <c r="B54" s="19" t="s">
        <v>167</v>
      </c>
      <c r="C54" s="12" t="s">
        <v>14</v>
      </c>
      <c r="D54" s="60" t="str">
        <f>_xlfn.IFNA(VLOOKUP(C54,Knacks[],2,0),"")</f>
        <v>Double value of Salvage Roll for POIs.</v>
      </c>
      <c r="E54" s="60"/>
      <c r="F54" s="60"/>
      <c r="G54" s="61"/>
    </row>
    <row r="55" spans="1:7" ht="20.25" x14ac:dyDescent="0.3">
      <c r="A55" s="56"/>
      <c r="B55" s="19" t="s">
        <v>168</v>
      </c>
      <c r="C55" s="12" t="s">
        <v>35</v>
      </c>
      <c r="D55" s="60" t="str">
        <f>_xlfn.IFNA(VLOOKUP(C55,Rattles[],2,0),"")</f>
        <v>No Free Move on first turn in new MHU.</v>
      </c>
      <c r="E55" s="60"/>
      <c r="F55" s="60"/>
      <c r="G55" s="61"/>
    </row>
    <row r="56" spans="1:7" ht="20.25" x14ac:dyDescent="0.3">
      <c r="A56" s="56"/>
      <c r="B56" s="19" t="s">
        <v>169</v>
      </c>
      <c r="C56" s="12" t="s">
        <v>131</v>
      </c>
      <c r="D56" s="60" t="str">
        <f>_xlfn.IFNA(VLOOKUP(C56,Vets[],2,0),"")</f>
        <v>Once per MHU. When stunned or breached, move half distance for free.</v>
      </c>
      <c r="E56" s="60"/>
      <c r="F56" s="60"/>
      <c r="G56" s="61"/>
    </row>
    <row r="57" spans="1:7" ht="20.25" x14ac:dyDescent="0.3">
      <c r="A57" s="56"/>
      <c r="B57" s="19" t="s">
        <v>173</v>
      </c>
      <c r="C57" s="12" t="s">
        <v>144</v>
      </c>
      <c r="D57" s="60" t="str">
        <f>_xlfn.IFNA(VLOOKUP(C57,Training[],2,0),"")</f>
        <v>May split free move before and after single Vital-related action.</v>
      </c>
      <c r="E57" s="60"/>
      <c r="F57" s="60"/>
      <c r="G57" s="61"/>
    </row>
    <row r="58" spans="1:7" ht="21" thickBot="1" x14ac:dyDescent="0.35">
      <c r="A58" s="57"/>
      <c r="B58" s="20" t="s">
        <v>147</v>
      </c>
      <c r="C58" s="13" t="s">
        <v>152</v>
      </c>
      <c r="D58" s="62" t="str">
        <f>_xlfn.IFNA(VLOOKUP(C58,Scars[],2,0),"")</f>
        <v>On first successful Load action, cannot Push for this turn.</v>
      </c>
      <c r="E58" s="62"/>
      <c r="F58" s="62"/>
      <c r="G58" s="63"/>
    </row>
    <row r="59" spans="1:7" ht="21.75" thickTop="1" x14ac:dyDescent="0.35">
      <c r="A59" s="55" t="s">
        <v>171</v>
      </c>
      <c r="B59" s="72" t="s">
        <v>67</v>
      </c>
      <c r="C59" s="16" t="str">
        <f>_xlfn.IFNA(VLOOKUP(B59,Ranged[],2,0),"")</f>
        <v>0-3"</v>
      </c>
      <c r="D59" s="58" t="str">
        <f>_xlfn.IFNA(VLOOKUP(B59,Ranged[],3,0),"")</f>
        <v>-4 to Defender's DD. | -1 U-Slot</v>
      </c>
      <c r="E59" s="58"/>
      <c r="F59" s="58"/>
      <c r="G59" s="59"/>
    </row>
    <row r="60" spans="1:7" ht="19.5" x14ac:dyDescent="0.25">
      <c r="A60" s="56"/>
      <c r="B60" s="77"/>
      <c r="C60" s="5" t="s">
        <v>117</v>
      </c>
      <c r="D60" s="60" t="str">
        <f>_xlfn.IFNA(VLOOKUP(C60,WPNMods[],2,0),"")</f>
        <v>+1 to hit</v>
      </c>
      <c r="E60" s="60"/>
      <c r="F60" s="60"/>
      <c r="G60" s="61"/>
    </row>
    <row r="61" spans="1:7" ht="15.75" x14ac:dyDescent="0.25">
      <c r="A61" s="56"/>
      <c r="B61" s="78" t="s">
        <v>58</v>
      </c>
      <c r="C61" s="10" t="s">
        <v>177</v>
      </c>
      <c r="D61" s="60" t="str">
        <f>_xlfn.IFNA(VLOOKUP(B61,Melee[],2,0),"")</f>
        <v>-2" Move. -1 Melee. +2 Break/Brace. -4 Defender's DD.</v>
      </c>
      <c r="E61" s="60"/>
      <c r="F61" s="60"/>
      <c r="G61" s="61"/>
    </row>
    <row r="62" spans="1:7" ht="20.25" thickBot="1" x14ac:dyDescent="0.3">
      <c r="A62" s="57"/>
      <c r="B62" s="75"/>
      <c r="C62" s="9" t="s">
        <v>120</v>
      </c>
      <c r="D62" s="62" t="str">
        <f>_xlfn.IFNA(VLOOKUP(C62,WPNMods[],2,0),"")</f>
        <v>+1 to hit.</v>
      </c>
      <c r="E62" s="62"/>
      <c r="F62" s="62"/>
      <c r="G62" s="63"/>
    </row>
    <row r="63" spans="1:7" ht="20.25" thickTop="1" x14ac:dyDescent="0.25">
      <c r="A63" s="55" t="s">
        <v>172</v>
      </c>
      <c r="B63" s="11" t="s">
        <v>87</v>
      </c>
      <c r="C63" s="58" t="str">
        <f>_xlfn.IFNA(VLOOKUP(B63,Items[],2,0),"")</f>
        <v>Open fused panel. Bypasses Scan/Hack.</v>
      </c>
      <c r="D63" s="58"/>
      <c r="E63" s="58"/>
      <c r="F63" s="58"/>
      <c r="G63" s="59"/>
    </row>
    <row r="64" spans="1:7" ht="19.5" x14ac:dyDescent="0.25">
      <c r="A64" s="56"/>
      <c r="B64" s="12" t="s">
        <v>88</v>
      </c>
      <c r="C64" s="60" t="str">
        <f>_xlfn.IFNA(VLOOKUP(B64,Items[],2,0),"")</f>
        <v>Remove darkness in MHU for one turn.</v>
      </c>
      <c r="D64" s="60"/>
      <c r="E64" s="60"/>
      <c r="F64" s="60"/>
      <c r="G64" s="61"/>
    </row>
    <row r="65" spans="1:7" ht="19.5" x14ac:dyDescent="0.25">
      <c r="A65" s="56"/>
      <c r="B65" s="12" t="s">
        <v>87</v>
      </c>
      <c r="C65" s="60" t="str">
        <f>_xlfn.IFNA(VLOOKUP(B65,Items[],2,0),"")</f>
        <v>Open fused panel. Bypasses Scan/Hack.</v>
      </c>
      <c r="D65" s="60"/>
      <c r="E65" s="60"/>
      <c r="F65" s="60"/>
      <c r="G65" s="61"/>
    </row>
    <row r="66" spans="1:7" ht="19.5" x14ac:dyDescent="0.25">
      <c r="A66" s="56"/>
      <c r="B66" s="12"/>
      <c r="C66" s="60" t="str">
        <f>_xlfn.IFNA(VLOOKUP(B66,Items[],2,0),"")</f>
        <v/>
      </c>
      <c r="D66" s="60"/>
      <c r="E66" s="60"/>
      <c r="F66" s="60"/>
      <c r="G66" s="61"/>
    </row>
    <row r="67" spans="1:7" ht="19.5" x14ac:dyDescent="0.25">
      <c r="A67" s="56"/>
      <c r="B67" s="12"/>
      <c r="C67" s="60" t="str">
        <f>_xlfn.IFNA(VLOOKUP(B67,Items[],2,0),"")</f>
        <v/>
      </c>
      <c r="D67" s="60"/>
      <c r="E67" s="60"/>
      <c r="F67" s="60"/>
      <c r="G67" s="61"/>
    </row>
    <row r="68" spans="1:7" ht="20.25" thickBot="1" x14ac:dyDescent="0.3">
      <c r="A68" s="57"/>
      <c r="B68" s="13"/>
      <c r="C68" s="62" t="str">
        <f>_xlfn.IFNA(VLOOKUP(B68,Items[],2,0),"")</f>
        <v/>
      </c>
      <c r="D68" s="62"/>
      <c r="E68" s="62"/>
      <c r="F68" s="62"/>
      <c r="G68" s="63"/>
    </row>
    <row r="69" spans="1:7" ht="15.75" thickTop="1" x14ac:dyDescent="0.25"/>
    <row r="70" spans="1:7" ht="15.75" thickBot="1" x14ac:dyDescent="0.3"/>
    <row r="71" spans="1:7" ht="26.25" thickTop="1" x14ac:dyDescent="0.25">
      <c r="A71" s="45" t="s">
        <v>176</v>
      </c>
      <c r="B71" s="46"/>
      <c r="C71" s="46"/>
      <c r="D71" s="41" t="s">
        <v>4</v>
      </c>
      <c r="E71" s="52" t="s">
        <v>187</v>
      </c>
      <c r="F71" s="53"/>
      <c r="G71" s="54"/>
    </row>
    <row r="72" spans="1:7" ht="15.75" x14ac:dyDescent="0.25">
      <c r="A72" s="47"/>
      <c r="B72" s="48"/>
      <c r="C72" s="48"/>
      <c r="D72" s="42"/>
      <c r="E72" s="49" t="str">
        <f>_xlfn.IFNA(VLOOKUP(D71,Role[],2,0),"")</f>
        <v>Scan/Hack and Resist Stress.</v>
      </c>
      <c r="F72" s="50"/>
      <c r="G72" s="51"/>
    </row>
    <row r="73" spans="1:7" ht="18.75" x14ac:dyDescent="0.25">
      <c r="A73" s="68" t="s">
        <v>174</v>
      </c>
      <c r="B73" s="69"/>
      <c r="C73" s="3" t="s">
        <v>184</v>
      </c>
      <c r="D73" s="3" t="s">
        <v>166</v>
      </c>
      <c r="E73" s="3" t="s">
        <v>162</v>
      </c>
      <c r="F73" s="3" t="s">
        <v>163</v>
      </c>
      <c r="G73" s="6" t="s">
        <v>164</v>
      </c>
    </row>
    <row r="74" spans="1:7" ht="33" thickBot="1" x14ac:dyDescent="0.3">
      <c r="A74" s="70"/>
      <c r="B74" s="71"/>
      <c r="C74" s="7" t="str">
        <f>_xlfn.IFNA(VLOOKUP(Crew!C75,EVA[],3,0),"")</f>
        <v>6"</v>
      </c>
      <c r="D74" s="7" t="str">
        <f>_xlfn.IFNA(VLOOKUP(Crew!C75,EVA[],2,0),"")</f>
        <v>D4+1</v>
      </c>
      <c r="E74" s="7" t="s">
        <v>185</v>
      </c>
      <c r="F74" s="7" t="s">
        <v>186</v>
      </c>
      <c r="G74" s="8" t="s">
        <v>50</v>
      </c>
    </row>
    <row r="75" spans="1:7" ht="20.25" thickTop="1" x14ac:dyDescent="0.25">
      <c r="A75" s="55" t="s">
        <v>170</v>
      </c>
      <c r="B75" s="76" t="s">
        <v>165</v>
      </c>
      <c r="C75" s="11" t="s">
        <v>46</v>
      </c>
      <c r="D75" s="58" t="str">
        <f>_xlfn.IFNA(VLOOKUP(C75,EVA[],6,0),"")</f>
        <v>Standard issue.</v>
      </c>
      <c r="E75" s="58"/>
      <c r="F75" s="58"/>
      <c r="G75" s="59"/>
    </row>
    <row r="76" spans="1:7" ht="19.5" x14ac:dyDescent="0.25">
      <c r="A76" s="56"/>
      <c r="B76" s="69"/>
      <c r="C76" s="5" t="s">
        <v>108</v>
      </c>
      <c r="D76" s="60" t="str">
        <f>_xlfn.IFNA(VLOOKUP(C76,EVAMods[],2,0),"")</f>
        <v>Ignore Darkness. Normal LOS for ranged.</v>
      </c>
      <c r="E76" s="60"/>
      <c r="F76" s="60"/>
      <c r="G76" s="61"/>
    </row>
    <row r="77" spans="1:7" ht="20.25" x14ac:dyDescent="0.3">
      <c r="A77" s="56"/>
      <c r="B77" s="19" t="s">
        <v>167</v>
      </c>
      <c r="C77" s="12" t="s">
        <v>14</v>
      </c>
      <c r="D77" s="60" t="str">
        <f>_xlfn.IFNA(VLOOKUP(C77,Knacks[],2,0),"")</f>
        <v>Double value of Salvage Roll for POIs.</v>
      </c>
      <c r="E77" s="60"/>
      <c r="F77" s="60"/>
      <c r="G77" s="61"/>
    </row>
    <row r="78" spans="1:7" ht="20.25" x14ac:dyDescent="0.3">
      <c r="A78" s="56"/>
      <c r="B78" s="19" t="s">
        <v>168</v>
      </c>
      <c r="C78" s="12" t="s">
        <v>35</v>
      </c>
      <c r="D78" s="60" t="str">
        <f>_xlfn.IFNA(VLOOKUP(C78,Rattles[],2,0),"")</f>
        <v>No Free Move on first turn in new MHU.</v>
      </c>
      <c r="E78" s="60"/>
      <c r="F78" s="60"/>
      <c r="G78" s="61"/>
    </row>
    <row r="79" spans="1:7" ht="20.25" x14ac:dyDescent="0.3">
      <c r="A79" s="56"/>
      <c r="B79" s="19" t="s">
        <v>169</v>
      </c>
      <c r="C79" s="12" t="s">
        <v>131</v>
      </c>
      <c r="D79" s="60" t="str">
        <f>_xlfn.IFNA(VLOOKUP(C79,Vets[],2,0),"")</f>
        <v>Once per MHU. When stunned or breached, move half distance for free.</v>
      </c>
      <c r="E79" s="60"/>
      <c r="F79" s="60"/>
      <c r="G79" s="61"/>
    </row>
    <row r="80" spans="1:7" ht="20.25" x14ac:dyDescent="0.3">
      <c r="A80" s="56"/>
      <c r="B80" s="19" t="s">
        <v>173</v>
      </c>
      <c r="C80" s="12" t="s">
        <v>144</v>
      </c>
      <c r="D80" s="60" t="str">
        <f>_xlfn.IFNA(VLOOKUP(C80,Training[],2,0),"")</f>
        <v>May split free move before and after single Vital-related action.</v>
      </c>
      <c r="E80" s="60"/>
      <c r="F80" s="60"/>
      <c r="G80" s="61"/>
    </row>
    <row r="81" spans="1:7" ht="21" thickBot="1" x14ac:dyDescent="0.35">
      <c r="A81" s="57"/>
      <c r="B81" s="20" t="s">
        <v>147</v>
      </c>
      <c r="C81" s="13" t="s">
        <v>152</v>
      </c>
      <c r="D81" s="62" t="str">
        <f>_xlfn.IFNA(VLOOKUP(C81,Scars[],2,0),"")</f>
        <v>On first successful Load action, cannot Push for this turn.</v>
      </c>
      <c r="E81" s="62"/>
      <c r="F81" s="62"/>
      <c r="G81" s="63"/>
    </row>
    <row r="82" spans="1:7" ht="21.75" thickTop="1" x14ac:dyDescent="0.35">
      <c r="A82" s="55" t="s">
        <v>171</v>
      </c>
      <c r="B82" s="72" t="s">
        <v>67</v>
      </c>
      <c r="C82" s="16" t="str">
        <f>_xlfn.IFNA(VLOOKUP(B82,Ranged[],2,0),"")</f>
        <v>0-3"</v>
      </c>
      <c r="D82" s="58" t="str">
        <f>_xlfn.IFNA(VLOOKUP(B82,Ranged[],3,0),"")</f>
        <v>-4 to Defender's DD. | -1 U-Slot</v>
      </c>
      <c r="E82" s="58"/>
      <c r="F82" s="58"/>
      <c r="G82" s="59"/>
    </row>
    <row r="83" spans="1:7" ht="19.5" x14ac:dyDescent="0.25">
      <c r="A83" s="56"/>
      <c r="B83" s="77"/>
      <c r="C83" s="5" t="s">
        <v>117</v>
      </c>
      <c r="D83" s="60" t="str">
        <f>_xlfn.IFNA(VLOOKUP(C83,WPNMods[],2,0),"")</f>
        <v>+1 to hit</v>
      </c>
      <c r="E83" s="60"/>
      <c r="F83" s="60"/>
      <c r="G83" s="61"/>
    </row>
    <row r="84" spans="1:7" ht="15.75" x14ac:dyDescent="0.25">
      <c r="A84" s="56"/>
      <c r="B84" s="78" t="s">
        <v>58</v>
      </c>
      <c r="C84" s="10" t="s">
        <v>177</v>
      </c>
      <c r="D84" s="60" t="str">
        <f>_xlfn.IFNA(VLOOKUP(B84,Melee[],2,0),"")</f>
        <v>-2" Move. -1 Melee. +2 Break/Brace. -4 Defender's DD.</v>
      </c>
      <c r="E84" s="60"/>
      <c r="F84" s="60"/>
      <c r="G84" s="61"/>
    </row>
    <row r="85" spans="1:7" ht="20.25" thickBot="1" x14ac:dyDescent="0.3">
      <c r="A85" s="57"/>
      <c r="B85" s="75"/>
      <c r="C85" s="9" t="s">
        <v>120</v>
      </c>
      <c r="D85" s="62" t="str">
        <f>_xlfn.IFNA(VLOOKUP(C85,WPNMods[],2,0),"")</f>
        <v>+1 to hit.</v>
      </c>
      <c r="E85" s="62"/>
      <c r="F85" s="62"/>
      <c r="G85" s="63"/>
    </row>
    <row r="86" spans="1:7" ht="20.25" thickTop="1" x14ac:dyDescent="0.25">
      <c r="A86" s="55" t="s">
        <v>172</v>
      </c>
      <c r="B86" s="11" t="s">
        <v>87</v>
      </c>
      <c r="C86" s="58" t="str">
        <f>_xlfn.IFNA(VLOOKUP(B86,Items[],2,0),"")</f>
        <v>Open fused panel. Bypasses Scan/Hack.</v>
      </c>
      <c r="D86" s="58"/>
      <c r="E86" s="58"/>
      <c r="F86" s="58"/>
      <c r="G86" s="59"/>
    </row>
    <row r="87" spans="1:7" ht="19.5" x14ac:dyDescent="0.25">
      <c r="A87" s="56"/>
      <c r="B87" s="12" t="s">
        <v>88</v>
      </c>
      <c r="C87" s="60" t="str">
        <f>_xlfn.IFNA(VLOOKUP(B87,Items[],2,0),"")</f>
        <v>Remove darkness in MHU for one turn.</v>
      </c>
      <c r="D87" s="60"/>
      <c r="E87" s="60"/>
      <c r="F87" s="60"/>
      <c r="G87" s="61"/>
    </row>
    <row r="88" spans="1:7" ht="19.5" x14ac:dyDescent="0.25">
      <c r="A88" s="56"/>
      <c r="B88" s="12" t="s">
        <v>87</v>
      </c>
      <c r="C88" s="60" t="str">
        <f>_xlfn.IFNA(VLOOKUP(B88,Items[],2,0),"")</f>
        <v>Open fused panel. Bypasses Scan/Hack.</v>
      </c>
      <c r="D88" s="60"/>
      <c r="E88" s="60"/>
      <c r="F88" s="60"/>
      <c r="G88" s="61"/>
    </row>
    <row r="89" spans="1:7" ht="19.5" x14ac:dyDescent="0.25">
      <c r="A89" s="56"/>
      <c r="B89" s="12"/>
      <c r="C89" s="60" t="str">
        <f>_xlfn.IFNA(VLOOKUP(B89,Items[],2,0),"")</f>
        <v/>
      </c>
      <c r="D89" s="60"/>
      <c r="E89" s="60"/>
      <c r="F89" s="60"/>
      <c r="G89" s="61"/>
    </row>
    <row r="90" spans="1:7" ht="19.5" x14ac:dyDescent="0.25">
      <c r="A90" s="56"/>
      <c r="B90" s="12"/>
      <c r="C90" s="60" t="str">
        <f>_xlfn.IFNA(VLOOKUP(B90,Items[],2,0),"")</f>
        <v/>
      </c>
      <c r="D90" s="60"/>
      <c r="E90" s="60"/>
      <c r="F90" s="60"/>
      <c r="G90" s="61"/>
    </row>
    <row r="91" spans="1:7" ht="20.25" thickBot="1" x14ac:dyDescent="0.3">
      <c r="A91" s="57"/>
      <c r="B91" s="13"/>
      <c r="C91" s="62" t="str">
        <f>_xlfn.IFNA(VLOOKUP(B91,Items[],2,0),"")</f>
        <v/>
      </c>
      <c r="D91" s="62"/>
      <c r="E91" s="62"/>
      <c r="F91" s="62"/>
      <c r="G91" s="63"/>
    </row>
    <row r="92" spans="1:7" ht="15.75" thickTop="1" x14ac:dyDescent="0.25"/>
    <row r="93" spans="1:7" ht="15.75" thickBot="1" x14ac:dyDescent="0.3"/>
    <row r="94" spans="1:7" ht="26.25" thickTop="1" x14ac:dyDescent="0.25">
      <c r="A94" s="45" t="s">
        <v>176</v>
      </c>
      <c r="B94" s="46"/>
      <c r="C94" s="46"/>
      <c r="D94" s="41" t="s">
        <v>4</v>
      </c>
      <c r="E94" s="52" t="s">
        <v>187</v>
      </c>
      <c r="F94" s="53"/>
      <c r="G94" s="54"/>
    </row>
    <row r="95" spans="1:7" ht="15.75" x14ac:dyDescent="0.25">
      <c r="A95" s="47"/>
      <c r="B95" s="48"/>
      <c r="C95" s="48"/>
      <c r="D95" s="42"/>
      <c r="E95" s="49" t="str">
        <f>_xlfn.IFNA(VLOOKUP(D94,Role[],2,0),"")</f>
        <v>Scan/Hack and Resist Stress.</v>
      </c>
      <c r="F95" s="50"/>
      <c r="G95" s="51"/>
    </row>
    <row r="96" spans="1:7" ht="18.75" x14ac:dyDescent="0.25">
      <c r="A96" s="68" t="s">
        <v>174</v>
      </c>
      <c r="B96" s="69"/>
      <c r="C96" s="3" t="s">
        <v>184</v>
      </c>
      <c r="D96" s="3" t="s">
        <v>166</v>
      </c>
      <c r="E96" s="3" t="s">
        <v>162</v>
      </c>
      <c r="F96" s="3" t="s">
        <v>163</v>
      </c>
      <c r="G96" s="6" t="s">
        <v>164</v>
      </c>
    </row>
    <row r="97" spans="1:7" ht="33" thickBot="1" x14ac:dyDescent="0.3">
      <c r="A97" s="70"/>
      <c r="B97" s="71"/>
      <c r="C97" s="7" t="str">
        <f>_xlfn.IFNA(VLOOKUP(Crew!C98,EVA[],3,0),"")</f>
        <v>6"</v>
      </c>
      <c r="D97" s="7" t="str">
        <f>_xlfn.IFNA(VLOOKUP(Crew!C98,EVA[],2,0),"")</f>
        <v>D4+1</v>
      </c>
      <c r="E97" s="7" t="s">
        <v>185</v>
      </c>
      <c r="F97" s="7" t="s">
        <v>186</v>
      </c>
      <c r="G97" s="8" t="s">
        <v>50</v>
      </c>
    </row>
    <row r="98" spans="1:7" ht="20.25" thickTop="1" x14ac:dyDescent="0.25">
      <c r="A98" s="55" t="s">
        <v>170</v>
      </c>
      <c r="B98" s="76" t="s">
        <v>165</v>
      </c>
      <c r="C98" s="11" t="s">
        <v>46</v>
      </c>
      <c r="D98" s="58" t="str">
        <f>_xlfn.IFNA(VLOOKUP(C98,EVA[],6,0),"")</f>
        <v>Standard issue.</v>
      </c>
      <c r="E98" s="58"/>
      <c r="F98" s="58"/>
      <c r="G98" s="59"/>
    </row>
    <row r="99" spans="1:7" ht="19.5" x14ac:dyDescent="0.25">
      <c r="A99" s="56"/>
      <c r="B99" s="69"/>
      <c r="C99" s="5" t="s">
        <v>108</v>
      </c>
      <c r="D99" s="60" t="str">
        <f>_xlfn.IFNA(VLOOKUP(C99,EVAMods[],2,0),"")</f>
        <v>Ignore Darkness. Normal LOS for ranged.</v>
      </c>
      <c r="E99" s="60"/>
      <c r="F99" s="60"/>
      <c r="G99" s="61"/>
    </row>
    <row r="100" spans="1:7" ht="20.25" x14ac:dyDescent="0.3">
      <c r="A100" s="56"/>
      <c r="B100" s="19" t="s">
        <v>167</v>
      </c>
      <c r="C100" s="12" t="s">
        <v>14</v>
      </c>
      <c r="D100" s="60" t="str">
        <f>_xlfn.IFNA(VLOOKUP(C100,Knacks[],2,0),"")</f>
        <v>Double value of Salvage Roll for POIs.</v>
      </c>
      <c r="E100" s="60"/>
      <c r="F100" s="60"/>
      <c r="G100" s="61"/>
    </row>
    <row r="101" spans="1:7" ht="20.25" x14ac:dyDescent="0.3">
      <c r="A101" s="56"/>
      <c r="B101" s="19" t="s">
        <v>168</v>
      </c>
      <c r="C101" s="12" t="s">
        <v>35</v>
      </c>
      <c r="D101" s="60" t="str">
        <f>_xlfn.IFNA(VLOOKUP(C101,Rattles[],2,0),"")</f>
        <v>No Free Move on first turn in new MHU.</v>
      </c>
      <c r="E101" s="60"/>
      <c r="F101" s="60"/>
      <c r="G101" s="61"/>
    </row>
    <row r="102" spans="1:7" ht="20.25" x14ac:dyDescent="0.3">
      <c r="A102" s="56"/>
      <c r="B102" s="19" t="s">
        <v>169</v>
      </c>
      <c r="C102" s="12" t="s">
        <v>131</v>
      </c>
      <c r="D102" s="60" t="str">
        <f>_xlfn.IFNA(VLOOKUP(C102,Vets[],2,0),"")</f>
        <v>Once per MHU. When stunned or breached, move half distance for free.</v>
      </c>
      <c r="E102" s="60"/>
      <c r="F102" s="60"/>
      <c r="G102" s="61"/>
    </row>
    <row r="103" spans="1:7" ht="20.25" x14ac:dyDescent="0.3">
      <c r="A103" s="56"/>
      <c r="B103" s="19" t="s">
        <v>173</v>
      </c>
      <c r="C103" s="12" t="s">
        <v>144</v>
      </c>
      <c r="D103" s="60" t="str">
        <f>_xlfn.IFNA(VLOOKUP(C103,Training[],2,0),"")</f>
        <v>May split free move before and after single Vital-related action.</v>
      </c>
      <c r="E103" s="60"/>
      <c r="F103" s="60"/>
      <c r="G103" s="61"/>
    </row>
    <row r="104" spans="1:7" ht="21" thickBot="1" x14ac:dyDescent="0.35">
      <c r="A104" s="57"/>
      <c r="B104" s="20" t="s">
        <v>147</v>
      </c>
      <c r="C104" s="13" t="s">
        <v>152</v>
      </c>
      <c r="D104" s="62" t="str">
        <f>_xlfn.IFNA(VLOOKUP(C104,Scars[],2,0),"")</f>
        <v>On first successful Load action, cannot Push for this turn.</v>
      </c>
      <c r="E104" s="62"/>
      <c r="F104" s="62"/>
      <c r="G104" s="63"/>
    </row>
    <row r="105" spans="1:7" ht="21.75" thickTop="1" x14ac:dyDescent="0.35">
      <c r="A105" s="55" t="s">
        <v>171</v>
      </c>
      <c r="B105" s="72" t="s">
        <v>67</v>
      </c>
      <c r="C105" s="16" t="str">
        <f>_xlfn.IFNA(VLOOKUP(B105,Ranged[],2,0),"")</f>
        <v>0-3"</v>
      </c>
      <c r="D105" s="58" t="str">
        <f>_xlfn.IFNA(VLOOKUP(B105,Ranged[],3,0),"")</f>
        <v>-4 to Defender's DD. | -1 U-Slot</v>
      </c>
      <c r="E105" s="58"/>
      <c r="F105" s="58"/>
      <c r="G105" s="59"/>
    </row>
    <row r="106" spans="1:7" ht="19.5" x14ac:dyDescent="0.25">
      <c r="A106" s="56"/>
      <c r="B106" s="77"/>
      <c r="C106" s="5" t="s">
        <v>117</v>
      </c>
      <c r="D106" s="60" t="str">
        <f>_xlfn.IFNA(VLOOKUP(C106,WPNMods[],2,0),"")</f>
        <v>+1 to hit</v>
      </c>
      <c r="E106" s="60"/>
      <c r="F106" s="60"/>
      <c r="G106" s="61"/>
    </row>
    <row r="107" spans="1:7" ht="15.75" x14ac:dyDescent="0.25">
      <c r="A107" s="56"/>
      <c r="B107" s="78" t="s">
        <v>58</v>
      </c>
      <c r="C107" s="10" t="s">
        <v>177</v>
      </c>
      <c r="D107" s="60" t="str">
        <f>_xlfn.IFNA(VLOOKUP(B107,Melee[],2,0),"")</f>
        <v>-2" Move. -1 Melee. +2 Break/Brace. -4 Defender's DD.</v>
      </c>
      <c r="E107" s="60"/>
      <c r="F107" s="60"/>
      <c r="G107" s="61"/>
    </row>
    <row r="108" spans="1:7" ht="20.25" thickBot="1" x14ac:dyDescent="0.3">
      <c r="A108" s="57"/>
      <c r="B108" s="75"/>
      <c r="C108" s="9" t="s">
        <v>120</v>
      </c>
      <c r="D108" s="62" t="str">
        <f>_xlfn.IFNA(VLOOKUP(C108,WPNMods[],2,0),"")</f>
        <v>+1 to hit.</v>
      </c>
      <c r="E108" s="62"/>
      <c r="F108" s="62"/>
      <c r="G108" s="63"/>
    </row>
    <row r="109" spans="1:7" ht="20.25" thickTop="1" x14ac:dyDescent="0.25">
      <c r="A109" s="55" t="s">
        <v>172</v>
      </c>
      <c r="B109" s="11" t="s">
        <v>87</v>
      </c>
      <c r="C109" s="58" t="str">
        <f>_xlfn.IFNA(VLOOKUP(B109,Items[],2,0),"")</f>
        <v>Open fused panel. Bypasses Scan/Hack.</v>
      </c>
      <c r="D109" s="58"/>
      <c r="E109" s="58"/>
      <c r="F109" s="58"/>
      <c r="G109" s="59"/>
    </row>
    <row r="110" spans="1:7" ht="19.5" x14ac:dyDescent="0.25">
      <c r="A110" s="56"/>
      <c r="B110" s="12" t="s">
        <v>88</v>
      </c>
      <c r="C110" s="60" t="str">
        <f>_xlfn.IFNA(VLOOKUP(B110,Items[],2,0),"")</f>
        <v>Remove darkness in MHU for one turn.</v>
      </c>
      <c r="D110" s="60"/>
      <c r="E110" s="60"/>
      <c r="F110" s="60"/>
      <c r="G110" s="61"/>
    </row>
    <row r="111" spans="1:7" ht="19.5" x14ac:dyDescent="0.25">
      <c r="A111" s="56"/>
      <c r="B111" s="12" t="s">
        <v>87</v>
      </c>
      <c r="C111" s="60" t="str">
        <f>_xlfn.IFNA(VLOOKUP(B111,Items[],2,0),"")</f>
        <v>Open fused panel. Bypasses Scan/Hack.</v>
      </c>
      <c r="D111" s="60"/>
      <c r="E111" s="60"/>
      <c r="F111" s="60"/>
      <c r="G111" s="61"/>
    </row>
    <row r="112" spans="1:7" ht="19.5" x14ac:dyDescent="0.25">
      <c r="A112" s="56"/>
      <c r="B112" s="12"/>
      <c r="C112" s="60" t="str">
        <f>_xlfn.IFNA(VLOOKUP(B112,Items[],2,0),"")</f>
        <v/>
      </c>
      <c r="D112" s="60"/>
      <c r="E112" s="60"/>
      <c r="F112" s="60"/>
      <c r="G112" s="61"/>
    </row>
    <row r="113" spans="1:7" ht="19.5" x14ac:dyDescent="0.25">
      <c r="A113" s="56"/>
      <c r="B113" s="12"/>
      <c r="C113" s="60" t="str">
        <f>_xlfn.IFNA(VLOOKUP(B113,Items[],2,0),"")</f>
        <v/>
      </c>
      <c r="D113" s="60"/>
      <c r="E113" s="60"/>
      <c r="F113" s="60"/>
      <c r="G113" s="61"/>
    </row>
    <row r="114" spans="1:7" ht="20.25" thickBot="1" x14ac:dyDescent="0.3">
      <c r="A114" s="57"/>
      <c r="B114" s="13"/>
      <c r="C114" s="62" t="str">
        <f>_xlfn.IFNA(VLOOKUP(B114,Items[],2,0),"")</f>
        <v/>
      </c>
      <c r="D114" s="62"/>
      <c r="E114" s="62"/>
      <c r="F114" s="62"/>
      <c r="G114" s="63"/>
    </row>
    <row r="115" spans="1:7" ht="15.75" thickTop="1" x14ac:dyDescent="0.25"/>
    <row r="116" spans="1:7" ht="15.75" thickBot="1" x14ac:dyDescent="0.3"/>
    <row r="117" spans="1:7" ht="26.25" thickTop="1" x14ac:dyDescent="0.25">
      <c r="A117" s="45" t="s">
        <v>176</v>
      </c>
      <c r="B117" s="46"/>
      <c r="C117" s="46"/>
      <c r="D117" s="41" t="s">
        <v>4</v>
      </c>
      <c r="E117" s="52" t="s">
        <v>187</v>
      </c>
      <c r="F117" s="53"/>
      <c r="G117" s="54"/>
    </row>
    <row r="118" spans="1:7" ht="15.75" x14ac:dyDescent="0.25">
      <c r="A118" s="47"/>
      <c r="B118" s="48"/>
      <c r="C118" s="48"/>
      <c r="D118" s="42"/>
      <c r="E118" s="49" t="str">
        <f>_xlfn.IFNA(VLOOKUP(D117,Role[],2,0),"")</f>
        <v>Scan/Hack and Resist Stress.</v>
      </c>
      <c r="F118" s="50"/>
      <c r="G118" s="51"/>
    </row>
    <row r="119" spans="1:7" ht="18.75" x14ac:dyDescent="0.25">
      <c r="A119" s="68" t="s">
        <v>174</v>
      </c>
      <c r="B119" s="69"/>
      <c r="C119" s="3" t="s">
        <v>184</v>
      </c>
      <c r="D119" s="3" t="s">
        <v>166</v>
      </c>
      <c r="E119" s="3" t="s">
        <v>162</v>
      </c>
      <c r="F119" s="3" t="s">
        <v>163</v>
      </c>
      <c r="G119" s="6" t="s">
        <v>164</v>
      </c>
    </row>
    <row r="120" spans="1:7" ht="33" thickBot="1" x14ac:dyDescent="0.3">
      <c r="A120" s="70"/>
      <c r="B120" s="71"/>
      <c r="C120" s="7" t="str">
        <f>_xlfn.IFNA(VLOOKUP(Crew!C121,EVA[],3,0),"")</f>
        <v>6"</v>
      </c>
      <c r="D120" s="7" t="str">
        <f>_xlfn.IFNA(VLOOKUP(Crew!C121,EVA[],2,0),"")</f>
        <v>D4+1</v>
      </c>
      <c r="E120" s="7" t="s">
        <v>185</v>
      </c>
      <c r="F120" s="7" t="s">
        <v>186</v>
      </c>
      <c r="G120" s="8" t="s">
        <v>50</v>
      </c>
    </row>
    <row r="121" spans="1:7" ht="20.25" thickTop="1" x14ac:dyDescent="0.25">
      <c r="A121" s="55" t="s">
        <v>170</v>
      </c>
      <c r="B121" s="76" t="s">
        <v>165</v>
      </c>
      <c r="C121" s="11" t="s">
        <v>46</v>
      </c>
      <c r="D121" s="58" t="str">
        <f>_xlfn.IFNA(VLOOKUP(C121,EVA[],6,0),"")</f>
        <v>Standard issue.</v>
      </c>
      <c r="E121" s="58"/>
      <c r="F121" s="58"/>
      <c r="G121" s="59"/>
    </row>
    <row r="122" spans="1:7" ht="19.5" x14ac:dyDescent="0.25">
      <c r="A122" s="56"/>
      <c r="B122" s="69"/>
      <c r="C122" s="5" t="s">
        <v>108</v>
      </c>
      <c r="D122" s="60" t="str">
        <f>_xlfn.IFNA(VLOOKUP(C122,EVAMods[],2,0),"")</f>
        <v>Ignore Darkness. Normal LOS for ranged.</v>
      </c>
      <c r="E122" s="60"/>
      <c r="F122" s="60"/>
      <c r="G122" s="61"/>
    </row>
    <row r="123" spans="1:7" ht="20.25" x14ac:dyDescent="0.3">
      <c r="A123" s="56"/>
      <c r="B123" s="19" t="s">
        <v>167</v>
      </c>
      <c r="C123" s="12" t="s">
        <v>14</v>
      </c>
      <c r="D123" s="60" t="str">
        <f>_xlfn.IFNA(VLOOKUP(C123,Knacks[],2,0),"")</f>
        <v>Double value of Salvage Roll for POIs.</v>
      </c>
      <c r="E123" s="60"/>
      <c r="F123" s="60"/>
      <c r="G123" s="61"/>
    </row>
    <row r="124" spans="1:7" ht="20.25" x14ac:dyDescent="0.3">
      <c r="A124" s="56"/>
      <c r="B124" s="19" t="s">
        <v>168</v>
      </c>
      <c r="C124" s="12" t="s">
        <v>35</v>
      </c>
      <c r="D124" s="60" t="str">
        <f>_xlfn.IFNA(VLOOKUP(C124,Rattles[],2,0),"")</f>
        <v>No Free Move on first turn in new MHU.</v>
      </c>
      <c r="E124" s="60"/>
      <c r="F124" s="60"/>
      <c r="G124" s="61"/>
    </row>
    <row r="125" spans="1:7" ht="20.25" x14ac:dyDescent="0.3">
      <c r="A125" s="56"/>
      <c r="B125" s="19" t="s">
        <v>169</v>
      </c>
      <c r="C125" s="12" t="s">
        <v>131</v>
      </c>
      <c r="D125" s="60" t="str">
        <f>_xlfn.IFNA(VLOOKUP(C125,Vets[],2,0),"")</f>
        <v>Once per MHU. When stunned or breached, move half distance for free.</v>
      </c>
      <c r="E125" s="60"/>
      <c r="F125" s="60"/>
      <c r="G125" s="61"/>
    </row>
    <row r="126" spans="1:7" ht="20.25" x14ac:dyDescent="0.3">
      <c r="A126" s="56"/>
      <c r="B126" s="19" t="s">
        <v>173</v>
      </c>
      <c r="C126" s="12" t="s">
        <v>144</v>
      </c>
      <c r="D126" s="60" t="str">
        <f>_xlfn.IFNA(VLOOKUP(C126,Training[],2,0),"")</f>
        <v>May split free move before and after single Vital-related action.</v>
      </c>
      <c r="E126" s="60"/>
      <c r="F126" s="60"/>
      <c r="G126" s="61"/>
    </row>
    <row r="127" spans="1:7" ht="21" thickBot="1" x14ac:dyDescent="0.35">
      <c r="A127" s="57"/>
      <c r="B127" s="20" t="s">
        <v>147</v>
      </c>
      <c r="C127" s="13" t="s">
        <v>152</v>
      </c>
      <c r="D127" s="62" t="str">
        <f>_xlfn.IFNA(VLOOKUP(C127,Scars[],2,0),"")</f>
        <v>On first successful Load action, cannot Push for this turn.</v>
      </c>
      <c r="E127" s="62"/>
      <c r="F127" s="62"/>
      <c r="G127" s="63"/>
    </row>
    <row r="128" spans="1:7" ht="21.75" thickTop="1" x14ac:dyDescent="0.35">
      <c r="A128" s="55" t="s">
        <v>171</v>
      </c>
      <c r="B128" s="72" t="s">
        <v>67</v>
      </c>
      <c r="C128" s="16" t="str">
        <f>_xlfn.IFNA(VLOOKUP(B128,Ranged[],2,0),"")</f>
        <v>0-3"</v>
      </c>
      <c r="D128" s="58" t="str">
        <f>_xlfn.IFNA(VLOOKUP(B128,Ranged[],3,0),"")</f>
        <v>-4 to Defender's DD. | -1 U-Slot</v>
      </c>
      <c r="E128" s="58"/>
      <c r="F128" s="58"/>
      <c r="G128" s="59"/>
    </row>
    <row r="129" spans="1:7" ht="19.5" x14ac:dyDescent="0.25">
      <c r="A129" s="56"/>
      <c r="B129" s="77"/>
      <c r="C129" s="5" t="s">
        <v>117</v>
      </c>
      <c r="D129" s="60" t="str">
        <f>_xlfn.IFNA(VLOOKUP(C129,WPNMods[],2,0),"")</f>
        <v>+1 to hit</v>
      </c>
      <c r="E129" s="60"/>
      <c r="F129" s="60"/>
      <c r="G129" s="61"/>
    </row>
    <row r="130" spans="1:7" ht="15.75" x14ac:dyDescent="0.25">
      <c r="A130" s="56"/>
      <c r="B130" s="78" t="s">
        <v>58</v>
      </c>
      <c r="C130" s="10" t="s">
        <v>177</v>
      </c>
      <c r="D130" s="60" t="str">
        <f>_xlfn.IFNA(VLOOKUP(B130,Melee[],2,0),"")</f>
        <v>-2" Move. -1 Melee. +2 Break/Brace. -4 Defender's DD.</v>
      </c>
      <c r="E130" s="60"/>
      <c r="F130" s="60"/>
      <c r="G130" s="61"/>
    </row>
    <row r="131" spans="1:7" ht="20.25" thickBot="1" x14ac:dyDescent="0.3">
      <c r="A131" s="57"/>
      <c r="B131" s="75"/>
      <c r="C131" s="9" t="s">
        <v>120</v>
      </c>
      <c r="D131" s="62" t="str">
        <f>_xlfn.IFNA(VLOOKUP(C131,WPNMods[],2,0),"")</f>
        <v>+1 to hit.</v>
      </c>
      <c r="E131" s="62"/>
      <c r="F131" s="62"/>
      <c r="G131" s="63"/>
    </row>
    <row r="132" spans="1:7" ht="20.25" thickTop="1" x14ac:dyDescent="0.25">
      <c r="A132" s="55" t="s">
        <v>172</v>
      </c>
      <c r="B132" s="11" t="s">
        <v>87</v>
      </c>
      <c r="C132" s="58" t="str">
        <f>_xlfn.IFNA(VLOOKUP(B132,Items[],2,0),"")</f>
        <v>Open fused panel. Bypasses Scan/Hack.</v>
      </c>
      <c r="D132" s="58"/>
      <c r="E132" s="58"/>
      <c r="F132" s="58"/>
      <c r="G132" s="59"/>
    </row>
    <row r="133" spans="1:7" ht="19.5" x14ac:dyDescent="0.25">
      <c r="A133" s="56"/>
      <c r="B133" s="12" t="s">
        <v>88</v>
      </c>
      <c r="C133" s="60" t="str">
        <f>_xlfn.IFNA(VLOOKUP(B133,Items[],2,0),"")</f>
        <v>Remove darkness in MHU for one turn.</v>
      </c>
      <c r="D133" s="60"/>
      <c r="E133" s="60"/>
      <c r="F133" s="60"/>
      <c r="G133" s="61"/>
    </row>
    <row r="134" spans="1:7" ht="19.5" x14ac:dyDescent="0.25">
      <c r="A134" s="56"/>
      <c r="B134" s="12" t="s">
        <v>87</v>
      </c>
      <c r="C134" s="60" t="str">
        <f>_xlfn.IFNA(VLOOKUP(B134,Items[],2,0),"")</f>
        <v>Open fused panel. Bypasses Scan/Hack.</v>
      </c>
      <c r="D134" s="60"/>
      <c r="E134" s="60"/>
      <c r="F134" s="60"/>
      <c r="G134" s="61"/>
    </row>
    <row r="135" spans="1:7" ht="19.5" x14ac:dyDescent="0.25">
      <c r="A135" s="56"/>
      <c r="B135" s="12"/>
      <c r="C135" s="60" t="str">
        <f>_xlfn.IFNA(VLOOKUP(B135,Items[],2,0),"")</f>
        <v/>
      </c>
      <c r="D135" s="60"/>
      <c r="E135" s="60"/>
      <c r="F135" s="60"/>
      <c r="G135" s="61"/>
    </row>
    <row r="136" spans="1:7" ht="19.5" x14ac:dyDescent="0.25">
      <c r="A136" s="56"/>
      <c r="B136" s="12"/>
      <c r="C136" s="60" t="str">
        <f>_xlfn.IFNA(VLOOKUP(B136,Items[],2,0),"")</f>
        <v/>
      </c>
      <c r="D136" s="60"/>
      <c r="E136" s="60"/>
      <c r="F136" s="60"/>
      <c r="G136" s="61"/>
    </row>
    <row r="137" spans="1:7" ht="20.25" thickBot="1" x14ac:dyDescent="0.3">
      <c r="A137" s="57"/>
      <c r="B137" s="13"/>
      <c r="C137" s="62" t="str">
        <f>_xlfn.IFNA(VLOOKUP(B137,Items[],2,0),"")</f>
        <v/>
      </c>
      <c r="D137" s="62"/>
      <c r="E137" s="62"/>
      <c r="F137" s="62"/>
      <c r="G137" s="63"/>
    </row>
    <row r="138" spans="1:7" ht="15.75" thickTop="1" x14ac:dyDescent="0.25"/>
  </sheetData>
  <mergeCells count="168">
    <mergeCell ref="D131:G131"/>
    <mergeCell ref="A132:A137"/>
    <mergeCell ref="C132:G132"/>
    <mergeCell ref="C133:G133"/>
    <mergeCell ref="C134:G134"/>
    <mergeCell ref="C135:G135"/>
    <mergeCell ref="C136:G136"/>
    <mergeCell ref="C137:G137"/>
    <mergeCell ref="D124:G124"/>
    <mergeCell ref="D125:G125"/>
    <mergeCell ref="D126:G126"/>
    <mergeCell ref="D127:G127"/>
    <mergeCell ref="A128:A131"/>
    <mergeCell ref="B128:B129"/>
    <mergeCell ref="D128:G128"/>
    <mergeCell ref="D129:G129"/>
    <mergeCell ref="B130:B131"/>
    <mergeCell ref="D130:G130"/>
    <mergeCell ref="A117:C118"/>
    <mergeCell ref="D117:D118"/>
    <mergeCell ref="E117:G117"/>
    <mergeCell ref="E118:G118"/>
    <mergeCell ref="A119:B120"/>
    <mergeCell ref="A121:A127"/>
    <mergeCell ref="B121:B122"/>
    <mergeCell ref="D121:G121"/>
    <mergeCell ref="D122:G122"/>
    <mergeCell ref="D123:G123"/>
    <mergeCell ref="D108:G108"/>
    <mergeCell ref="A109:A114"/>
    <mergeCell ref="C109:G109"/>
    <mergeCell ref="C110:G110"/>
    <mergeCell ref="C111:G111"/>
    <mergeCell ref="C112:G112"/>
    <mergeCell ref="C113:G113"/>
    <mergeCell ref="C114:G114"/>
    <mergeCell ref="D101:G101"/>
    <mergeCell ref="D102:G102"/>
    <mergeCell ref="D103:G103"/>
    <mergeCell ref="D104:G104"/>
    <mergeCell ref="A105:A108"/>
    <mergeCell ref="B105:B106"/>
    <mergeCell ref="D105:G105"/>
    <mergeCell ref="D106:G106"/>
    <mergeCell ref="B107:B108"/>
    <mergeCell ref="D107:G107"/>
    <mergeCell ref="A94:C95"/>
    <mergeCell ref="D94:D95"/>
    <mergeCell ref="E94:G94"/>
    <mergeCell ref="E95:G95"/>
    <mergeCell ref="A96:B97"/>
    <mergeCell ref="A98:A104"/>
    <mergeCell ref="B98:B99"/>
    <mergeCell ref="D98:G98"/>
    <mergeCell ref="D99:G99"/>
    <mergeCell ref="D100:G100"/>
    <mergeCell ref="D85:G85"/>
    <mergeCell ref="A86:A91"/>
    <mergeCell ref="C86:G86"/>
    <mergeCell ref="C87:G87"/>
    <mergeCell ref="C88:G88"/>
    <mergeCell ref="C89:G89"/>
    <mergeCell ref="C90:G90"/>
    <mergeCell ref="C91:G91"/>
    <mergeCell ref="D78:G78"/>
    <mergeCell ref="D79:G79"/>
    <mergeCell ref="D80:G80"/>
    <mergeCell ref="D81:G81"/>
    <mergeCell ref="A82:A85"/>
    <mergeCell ref="B82:B83"/>
    <mergeCell ref="D82:G82"/>
    <mergeCell ref="D83:G83"/>
    <mergeCell ref="B84:B85"/>
    <mergeCell ref="D84:G84"/>
    <mergeCell ref="A71:C72"/>
    <mergeCell ref="D71:D72"/>
    <mergeCell ref="E71:G71"/>
    <mergeCell ref="E72:G72"/>
    <mergeCell ref="A73:B74"/>
    <mergeCell ref="A75:A81"/>
    <mergeCell ref="B75:B76"/>
    <mergeCell ref="D75:G75"/>
    <mergeCell ref="D76:G76"/>
    <mergeCell ref="D77:G77"/>
    <mergeCell ref="D62:G62"/>
    <mergeCell ref="A63:A68"/>
    <mergeCell ref="C63:G63"/>
    <mergeCell ref="C64:G64"/>
    <mergeCell ref="C65:G65"/>
    <mergeCell ref="C66:G66"/>
    <mergeCell ref="C67:G67"/>
    <mergeCell ref="C68:G68"/>
    <mergeCell ref="D55:G55"/>
    <mergeCell ref="D56:G56"/>
    <mergeCell ref="D57:G57"/>
    <mergeCell ref="D58:G58"/>
    <mergeCell ref="A59:A62"/>
    <mergeCell ref="B59:B60"/>
    <mergeCell ref="D59:G59"/>
    <mergeCell ref="D60:G60"/>
    <mergeCell ref="B61:B62"/>
    <mergeCell ref="D61:G61"/>
    <mergeCell ref="A48:C49"/>
    <mergeCell ref="D48:D49"/>
    <mergeCell ref="E48:G48"/>
    <mergeCell ref="E49:G49"/>
    <mergeCell ref="A50:B51"/>
    <mergeCell ref="A52:A58"/>
    <mergeCell ref="B52:B53"/>
    <mergeCell ref="D52:G52"/>
    <mergeCell ref="D53:G53"/>
    <mergeCell ref="D54:G54"/>
    <mergeCell ref="A29:A35"/>
    <mergeCell ref="B29:B30"/>
    <mergeCell ref="D29:G29"/>
    <mergeCell ref="D30:G30"/>
    <mergeCell ref="D31:G31"/>
    <mergeCell ref="D39:G39"/>
    <mergeCell ref="A40:A45"/>
    <mergeCell ref="C40:G40"/>
    <mergeCell ref="C41:G41"/>
    <mergeCell ref="C42:G42"/>
    <mergeCell ref="C43:G43"/>
    <mergeCell ref="C44:G44"/>
    <mergeCell ref="C45:G45"/>
    <mergeCell ref="D32:G32"/>
    <mergeCell ref="D33:G33"/>
    <mergeCell ref="D34:G34"/>
    <mergeCell ref="D35:G35"/>
    <mergeCell ref="A36:A39"/>
    <mergeCell ref="B36:B37"/>
    <mergeCell ref="D36:G36"/>
    <mergeCell ref="D37:G37"/>
    <mergeCell ref="B38:B39"/>
    <mergeCell ref="D38:G38"/>
    <mergeCell ref="B6:B7"/>
    <mergeCell ref="D16:G16"/>
    <mergeCell ref="A6:A12"/>
    <mergeCell ref="A13:A16"/>
    <mergeCell ref="A25:C26"/>
    <mergeCell ref="D25:D26"/>
    <mergeCell ref="E25:G25"/>
    <mergeCell ref="E26:G26"/>
    <mergeCell ref="A27:B28"/>
    <mergeCell ref="D2:D3"/>
    <mergeCell ref="D6:G6"/>
    <mergeCell ref="A2:C3"/>
    <mergeCell ref="E3:G3"/>
    <mergeCell ref="E2:G2"/>
    <mergeCell ref="A17:A22"/>
    <mergeCell ref="C17:G17"/>
    <mergeCell ref="C18:G18"/>
    <mergeCell ref="C19:G19"/>
    <mergeCell ref="C20:G20"/>
    <mergeCell ref="C21:G21"/>
    <mergeCell ref="C22:G22"/>
    <mergeCell ref="D8:G8"/>
    <mergeCell ref="D9:G9"/>
    <mergeCell ref="D10:G10"/>
    <mergeCell ref="D12:G12"/>
    <mergeCell ref="D13:G13"/>
    <mergeCell ref="D11:G11"/>
    <mergeCell ref="D14:G14"/>
    <mergeCell ref="D15:G15"/>
    <mergeCell ref="D7:G7"/>
    <mergeCell ref="A4:B5"/>
    <mergeCell ref="B13:B14"/>
    <mergeCell ref="B15:B16"/>
  </mergeCells>
  <phoneticPr fontId="3" type="noConversion"/>
  <dataValidations count="3">
    <dataValidation type="list" allowBlank="1" showInputMessage="1" showErrorMessage="1" sqref="C14 C37 C60 C83 C106 C129" xr:uid="{F944FCC3-276C-4D58-A1A3-2CF73FDCF1A9}">
      <formula1>"Laser Designator,Overcharge Port,Custom Foregrip,Bayonet Lug"</formula1>
    </dataValidation>
    <dataValidation type="list" allowBlank="1" showInputMessage="1" showErrorMessage="1" sqref="C16 C39 C62 C85 C108 C131" xr:uid="{BA1B7CC9-FA24-44FA-B651-5D5685866CE7}">
      <formula1>"Mag-Sheath,Smart Grip"</formula1>
    </dataValidation>
    <dataValidation type="list" allowBlank="1" showInputMessage="1" showErrorMessage="1" sqref="E5:G5 E28:G28 E51:G51 E74:G74 E97:G97 E120:G120" xr:uid="{5A5D7421-FF34-4C54-AA30-8B1233C6114F}">
      <formula1>"D6,D8,D10"</formula1>
    </dataValidation>
  </dataValidations>
  <pageMargins left="0.7" right="0.7" top="0.75" bottom="0.75" header="0.3" footer="0.3"/>
  <pageSetup scale="70" fitToHeight="0" orientation="portrait" r:id="rId1"/>
  <rowBreaks count="3" manualBreakCount="3">
    <brk id="45" max="16383" man="1"/>
    <brk id="91" max="16383" man="1"/>
    <brk id="138" max="16383" man="1"/>
  </rowBreaks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1CC92CFE-3CE9-4073-96F3-5683A8D51BEB}">
          <x14:formula1>
            <xm:f>Data!$A$2:$A$5</xm:f>
          </x14:formula1>
          <xm:sqref>D2:D3 D25:D26 D48:D49 D71:D72 D94:D95 D117:D118</xm:sqref>
        </x14:dataValidation>
        <x14:dataValidation type="list" allowBlank="1" showInputMessage="1" showErrorMessage="1" xr:uid="{44990B28-0819-4E16-AEEC-D6DBE2578122}">
          <x14:formula1>
            <xm:f>Data!$K$2:$K$5</xm:f>
          </x14:formula1>
          <xm:sqref>C6 C29 C52 C75 C98 C121</xm:sqref>
        </x14:dataValidation>
        <x14:dataValidation type="list" allowBlank="1" showInputMessage="1" showErrorMessage="1" xr:uid="{19194A38-B0BD-493C-B018-ABD2F5A44114}">
          <x14:formula1>
            <xm:f>Data!$A$8:$A$13</xm:f>
          </x14:formula1>
          <xm:sqref>C8 C31 C54 C77 C100 C123</xm:sqref>
        </x14:dataValidation>
        <x14:dataValidation type="list" allowBlank="1" showInputMessage="1" showErrorMessage="1" xr:uid="{1F2EC956-18DE-4DF1-8908-5B3844E21B91}">
          <x14:formula1>
            <xm:f>Data!$A$16:$A$21</xm:f>
          </x14:formula1>
          <xm:sqref>C9 C32 C55 C78 C101 C124</xm:sqref>
        </x14:dataValidation>
        <x14:dataValidation type="list" allowBlank="1" showInputMessage="1" showErrorMessage="1" xr:uid="{CA0971C9-63AB-4A0F-8B04-077BEEA3DACD}">
          <x14:formula1>
            <xm:f>Data!$A$24:$A$31</xm:f>
          </x14:formula1>
          <xm:sqref>C10 C33 C56 C79 C102 C125</xm:sqref>
        </x14:dataValidation>
        <x14:dataValidation type="list" allowBlank="1" showInputMessage="1" showErrorMessage="1" xr:uid="{90927C66-5692-469F-A7BE-D14FF7ED6967}">
          <x14:formula1>
            <xm:f>Data!$A$34:$A$35</xm:f>
          </x14:formula1>
          <xm:sqref>C11 C34 C57 C80 C103 C126</xm:sqref>
        </x14:dataValidation>
        <x14:dataValidation type="list" allowBlank="1" showInputMessage="1" showErrorMessage="1" xr:uid="{FDC5E03D-E3FD-4A3B-BBA1-889C0EE6338F}">
          <x14:formula1>
            <xm:f>Data!$A$38:$A$44</xm:f>
          </x14:formula1>
          <xm:sqref>C12 C35 C58 C81 C104 C127</xm:sqref>
        </x14:dataValidation>
        <x14:dataValidation type="list" allowBlank="1" showInputMessage="1" showErrorMessage="1" xr:uid="{7FB9607C-AA94-4956-ACB6-6481ED9F224B}">
          <x14:formula1>
            <xm:f>Data!$G$2:$G$7</xm:f>
          </x14:formula1>
          <xm:sqref>B13 B36 B59 B82 B105 B128</xm:sqref>
        </x14:dataValidation>
        <x14:dataValidation type="list" allowBlank="1" showInputMessage="1" showErrorMessage="1" xr:uid="{792EDBAD-C277-4E78-8E9B-464BCDE6CD03}">
          <x14:formula1>
            <xm:f>Data!$D$2:$D$7</xm:f>
          </x14:formula1>
          <xm:sqref>B15 B38 B61 B84 B107 B130</xm:sqref>
        </x14:dataValidation>
        <x14:dataValidation type="list" allowBlank="1" showInputMessage="1" showErrorMessage="1" xr:uid="{6F3FDA17-C6CE-4CD6-BA48-F621CDE2A8D0}">
          <x14:formula1>
            <xm:f>Data!$D$10:$D$19</xm:f>
          </x14:formula1>
          <xm:sqref>B17:B22 B40:B45 B63:B68 B86:B91 B109:B114 B132:B137</xm:sqref>
        </x14:dataValidation>
        <x14:dataValidation type="list" allowBlank="1" showInputMessage="1" showErrorMessage="1" xr:uid="{D1FEFD11-D28A-4FC2-A028-B35264DBB7C5}">
          <x14:formula1>
            <xm:f>Data!$R$2:$R$7</xm:f>
          </x14:formula1>
          <xm:sqref>C7 C30 C53 C76 C99 C122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299EB-53A2-4018-92FD-75204DAC7113}">
  <dimension ref="A1:G25"/>
  <sheetViews>
    <sheetView workbookViewId="0">
      <selection activeCell="A14" sqref="A14:C15"/>
    </sheetView>
  </sheetViews>
  <sheetFormatPr defaultRowHeight="15" x14ac:dyDescent="0.25"/>
  <cols>
    <col min="2" max="2" width="10.28515625" bestFit="1" customWidth="1"/>
    <col min="3" max="7" width="20.7109375" customWidth="1"/>
  </cols>
  <sheetData>
    <row r="1" spans="1:7" ht="26.25" customHeight="1" thickTop="1" x14ac:dyDescent="0.25">
      <c r="A1" s="45" t="s">
        <v>194</v>
      </c>
      <c r="B1" s="46"/>
      <c r="C1" s="46"/>
      <c r="D1" s="41" t="s">
        <v>193</v>
      </c>
      <c r="E1" s="52" t="s">
        <v>263</v>
      </c>
      <c r="F1" s="53"/>
      <c r="G1" s="54"/>
    </row>
    <row r="2" spans="1:7" ht="15.75" customHeight="1" x14ac:dyDescent="0.25">
      <c r="A2" s="47"/>
      <c r="B2" s="48"/>
      <c r="C2" s="48"/>
      <c r="D2" s="42"/>
      <c r="E2" s="82"/>
      <c r="F2" s="83"/>
      <c r="G2" s="84"/>
    </row>
    <row r="3" spans="1:7" ht="18.75" x14ac:dyDescent="0.25">
      <c r="A3" s="68" t="s">
        <v>174</v>
      </c>
      <c r="B3" s="69"/>
      <c r="C3" s="3" t="s">
        <v>184</v>
      </c>
      <c r="D3" s="3" t="s">
        <v>166</v>
      </c>
      <c r="E3" s="3" t="s">
        <v>251</v>
      </c>
      <c r="F3" s="91" t="s">
        <v>253</v>
      </c>
      <c r="G3" s="92"/>
    </row>
    <row r="4" spans="1:7" ht="57.75" customHeight="1" thickBot="1" x14ac:dyDescent="0.3">
      <c r="A4" s="70"/>
      <c r="B4" s="71"/>
      <c r="C4" s="7" t="s">
        <v>48</v>
      </c>
      <c r="D4" s="18" t="s">
        <v>195</v>
      </c>
      <c r="E4" s="34" t="s">
        <v>252</v>
      </c>
      <c r="F4" s="93" t="s">
        <v>257</v>
      </c>
      <c r="G4" s="94"/>
    </row>
    <row r="5" spans="1:7" ht="20.100000000000001" customHeight="1" thickTop="1" x14ac:dyDescent="0.25">
      <c r="A5" s="85" t="s">
        <v>196</v>
      </c>
      <c r="B5" s="86"/>
      <c r="C5" s="87" t="s">
        <v>197</v>
      </c>
      <c r="D5" s="87"/>
      <c r="E5" s="87"/>
      <c r="F5" s="87"/>
      <c r="G5" s="88"/>
    </row>
    <row r="6" spans="1:7" ht="26.25" thickBot="1" x14ac:dyDescent="0.3">
      <c r="A6" s="89" t="s">
        <v>198</v>
      </c>
      <c r="B6" s="90"/>
      <c r="C6" s="62" t="s">
        <v>199</v>
      </c>
      <c r="D6" s="62"/>
      <c r="E6" s="62"/>
      <c r="F6" s="62"/>
      <c r="G6" s="63"/>
    </row>
    <row r="7" spans="1:7" ht="20.25" thickTop="1" x14ac:dyDescent="0.25">
      <c r="A7" s="105" t="s">
        <v>171</v>
      </c>
      <c r="B7" s="36" t="s">
        <v>258</v>
      </c>
      <c r="C7" s="138" t="s">
        <v>260</v>
      </c>
      <c r="D7" s="139"/>
      <c r="E7" s="139"/>
      <c r="F7" s="139"/>
      <c r="G7" s="140"/>
    </row>
    <row r="8" spans="1:7" ht="19.5" x14ac:dyDescent="0.25">
      <c r="A8" s="105"/>
      <c r="B8" s="35" t="s">
        <v>259</v>
      </c>
      <c r="C8" s="141" t="s">
        <v>261</v>
      </c>
      <c r="D8" s="142"/>
      <c r="E8" s="142"/>
      <c r="F8" s="142"/>
      <c r="G8" s="143"/>
    </row>
    <row r="9" spans="1:7" ht="20.25" customHeight="1" x14ac:dyDescent="0.3">
      <c r="A9" s="105"/>
      <c r="B9" s="24" t="s">
        <v>254</v>
      </c>
      <c r="C9" s="129" t="s">
        <v>255</v>
      </c>
      <c r="D9" s="130"/>
      <c r="E9" s="130"/>
      <c r="F9" s="130"/>
      <c r="G9" s="131"/>
    </row>
    <row r="10" spans="1:7" x14ac:dyDescent="0.25">
      <c r="A10" s="106"/>
      <c r="B10" s="123"/>
      <c r="C10" s="132"/>
      <c r="D10" s="133"/>
      <c r="E10" s="133"/>
      <c r="F10" s="133"/>
      <c r="G10" s="134"/>
    </row>
    <row r="11" spans="1:7" ht="15.75" thickBot="1" x14ac:dyDescent="0.3">
      <c r="A11" s="107"/>
      <c r="B11" s="124"/>
      <c r="C11" s="135"/>
      <c r="D11" s="136"/>
      <c r="E11" s="136"/>
      <c r="F11" s="136"/>
      <c r="G11" s="137"/>
    </row>
    <row r="12" spans="1:7" ht="15.75" thickTop="1" x14ac:dyDescent="0.25"/>
    <row r="13" spans="1:7" ht="15.75" thickBot="1" x14ac:dyDescent="0.3"/>
    <row r="14" spans="1:7" ht="15.75" thickTop="1" x14ac:dyDescent="0.25">
      <c r="A14" s="45" t="s">
        <v>269</v>
      </c>
      <c r="B14" s="46"/>
      <c r="C14" s="46"/>
      <c r="D14" s="41" t="s">
        <v>256</v>
      </c>
      <c r="E14" s="52" t="s">
        <v>263</v>
      </c>
      <c r="F14" s="53"/>
      <c r="G14" s="54"/>
    </row>
    <row r="15" spans="1:7" x14ac:dyDescent="0.25">
      <c r="A15" s="47"/>
      <c r="B15" s="48"/>
      <c r="C15" s="48"/>
      <c r="D15" s="42"/>
      <c r="E15" s="82"/>
      <c r="F15" s="83"/>
      <c r="G15" s="84"/>
    </row>
    <row r="16" spans="1:7" ht="18.75" x14ac:dyDescent="0.25">
      <c r="A16" s="68" t="s">
        <v>174</v>
      </c>
      <c r="B16" s="69"/>
      <c r="C16" s="3" t="s">
        <v>184</v>
      </c>
      <c r="D16" s="3" t="s">
        <v>166</v>
      </c>
      <c r="E16" s="91" t="s">
        <v>265</v>
      </c>
      <c r="F16" s="125"/>
      <c r="G16" s="92"/>
    </row>
    <row r="17" spans="1:7" ht="33" thickBot="1" x14ac:dyDescent="0.3">
      <c r="A17" s="70"/>
      <c r="B17" s="71"/>
      <c r="C17" s="7" t="s">
        <v>48</v>
      </c>
      <c r="D17" s="18" t="s">
        <v>195</v>
      </c>
      <c r="E17" s="126" t="s">
        <v>264</v>
      </c>
      <c r="F17" s="127"/>
      <c r="G17" s="128"/>
    </row>
    <row r="18" spans="1:7" ht="26.25" thickTop="1" x14ac:dyDescent="0.25">
      <c r="A18" s="95" t="s">
        <v>196</v>
      </c>
      <c r="B18" s="96"/>
      <c r="C18" s="97" t="s">
        <v>197</v>
      </c>
      <c r="D18" s="98"/>
      <c r="E18" s="98"/>
      <c r="F18" s="98"/>
      <c r="G18" s="99"/>
    </row>
    <row r="19" spans="1:7" ht="26.25" thickBot="1" x14ac:dyDescent="0.3">
      <c r="A19" s="100" t="s">
        <v>198</v>
      </c>
      <c r="B19" s="101"/>
      <c r="C19" s="102" t="s">
        <v>199</v>
      </c>
      <c r="D19" s="103"/>
      <c r="E19" s="103"/>
      <c r="F19" s="103"/>
      <c r="G19" s="104"/>
    </row>
    <row r="20" spans="1:7" ht="39.75" thickTop="1" x14ac:dyDescent="0.3">
      <c r="A20" s="105" t="s">
        <v>171</v>
      </c>
      <c r="B20" s="37" t="s">
        <v>262</v>
      </c>
      <c r="C20" s="108" t="s">
        <v>252</v>
      </c>
      <c r="D20" s="109"/>
      <c r="E20" s="109"/>
      <c r="F20" s="109"/>
      <c r="G20" s="110"/>
    </row>
    <row r="21" spans="1:7" ht="19.5" x14ac:dyDescent="0.3">
      <c r="A21" s="105"/>
      <c r="B21" s="33" t="s">
        <v>266</v>
      </c>
      <c r="C21" s="111" t="s">
        <v>267</v>
      </c>
      <c r="D21" s="112"/>
      <c r="E21" s="112"/>
      <c r="F21" s="112"/>
      <c r="G21" s="113"/>
    </row>
    <row r="22" spans="1:7" ht="19.5" x14ac:dyDescent="0.3">
      <c r="A22" s="105"/>
      <c r="B22" s="24" t="s">
        <v>254</v>
      </c>
      <c r="C22" s="114" t="s">
        <v>268</v>
      </c>
      <c r="D22" s="115"/>
      <c r="E22" s="115"/>
      <c r="F22" s="115"/>
      <c r="G22" s="116"/>
    </row>
    <row r="23" spans="1:7" x14ac:dyDescent="0.25">
      <c r="A23" s="106"/>
      <c r="B23" s="123"/>
      <c r="C23" s="117"/>
      <c r="D23" s="118"/>
      <c r="E23" s="118"/>
      <c r="F23" s="118"/>
      <c r="G23" s="119"/>
    </row>
    <row r="24" spans="1:7" ht="15.75" thickBot="1" x14ac:dyDescent="0.3">
      <c r="A24" s="107"/>
      <c r="B24" s="124"/>
      <c r="C24" s="120"/>
      <c r="D24" s="121"/>
      <c r="E24" s="121"/>
      <c r="F24" s="121"/>
      <c r="G24" s="122"/>
    </row>
    <row r="25" spans="1:7" ht="15.75" thickTop="1" x14ac:dyDescent="0.25"/>
  </sheetData>
  <mergeCells count="30">
    <mergeCell ref="E16:G16"/>
    <mergeCell ref="E17:G17"/>
    <mergeCell ref="A16:B17"/>
    <mergeCell ref="C9:G11"/>
    <mergeCell ref="B10:B11"/>
    <mergeCell ref="A14:C15"/>
    <mergeCell ref="D14:D15"/>
    <mergeCell ref="E14:G15"/>
    <mergeCell ref="A7:A11"/>
    <mergeCell ref="C7:G7"/>
    <mergeCell ref="C8:G8"/>
    <mergeCell ref="A18:B18"/>
    <mergeCell ref="C18:G18"/>
    <mergeCell ref="A19:B19"/>
    <mergeCell ref="C19:G19"/>
    <mergeCell ref="A20:A24"/>
    <mergeCell ref="C20:G20"/>
    <mergeCell ref="C21:G21"/>
    <mergeCell ref="C22:G24"/>
    <mergeCell ref="B23:B24"/>
    <mergeCell ref="E1:G2"/>
    <mergeCell ref="A5:B5"/>
    <mergeCell ref="C5:G5"/>
    <mergeCell ref="A6:B6"/>
    <mergeCell ref="C6:G6"/>
    <mergeCell ref="A1:C2"/>
    <mergeCell ref="D1:D2"/>
    <mergeCell ref="A3:B4"/>
    <mergeCell ref="F3:G3"/>
    <mergeCell ref="F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4BFF0-D3DE-44A8-BFD9-ECF0EBF6E697}">
  <dimension ref="B1:T27"/>
  <sheetViews>
    <sheetView showZeros="0" tabSelected="1" zoomScale="85" zoomScaleNormal="85" workbookViewId="0">
      <selection activeCell="G7" sqref="G7"/>
    </sheetView>
  </sheetViews>
  <sheetFormatPr defaultRowHeight="15" x14ac:dyDescent="0.25"/>
  <cols>
    <col min="2" max="2" width="12.7109375" bestFit="1" customWidth="1"/>
    <col min="3" max="6" width="15.7109375" customWidth="1"/>
    <col min="7" max="7" width="24.42578125" bestFit="1" customWidth="1"/>
    <col min="8" max="8" width="18.42578125" customWidth="1"/>
    <col min="11" max="11" width="9.140625" customWidth="1"/>
    <col min="12" max="12" width="18.42578125" customWidth="1"/>
    <col min="15" max="15" width="20.7109375" customWidth="1"/>
    <col min="16" max="17" width="10.7109375" customWidth="1"/>
  </cols>
  <sheetData>
    <row r="1" spans="2:20" ht="19.5" x14ac:dyDescent="0.3">
      <c r="H1" s="144" t="s">
        <v>274</v>
      </c>
      <c r="I1" s="144"/>
      <c r="J1" s="144"/>
      <c r="L1" s="144" t="s">
        <v>234</v>
      </c>
      <c r="M1" s="144"/>
      <c r="N1" s="144"/>
    </row>
    <row r="2" spans="2:20" ht="19.5" customHeight="1" x14ac:dyDescent="0.3">
      <c r="B2" s="145" t="s">
        <v>243</v>
      </c>
      <c r="C2" s="145"/>
      <c r="D2" s="27" t="s">
        <v>216</v>
      </c>
      <c r="E2" s="27" t="s">
        <v>203</v>
      </c>
      <c r="F2" s="27" t="s">
        <v>240</v>
      </c>
      <c r="H2" s="30" t="s">
        <v>236</v>
      </c>
      <c r="I2" s="30" t="s">
        <v>237</v>
      </c>
      <c r="J2" s="30" t="s">
        <v>238</v>
      </c>
      <c r="L2" s="30" t="s">
        <v>236</v>
      </c>
      <c r="M2" s="30" t="s">
        <v>237</v>
      </c>
      <c r="N2" s="30" t="s">
        <v>238</v>
      </c>
      <c r="P2" s="159" t="s">
        <v>235</v>
      </c>
      <c r="Q2" s="160"/>
      <c r="R2" s="160"/>
      <c r="S2" s="160"/>
      <c r="T2" s="161"/>
    </row>
    <row r="3" spans="2:20" ht="20.25" customHeight="1" x14ac:dyDescent="0.3">
      <c r="B3" s="145"/>
      <c r="C3" s="145"/>
      <c r="D3" s="25" t="str">
        <f>_xlfn.IFNA(VLOOKUP(D2,Ships[],2,0),"")</f>
        <v>Tug</v>
      </c>
      <c r="E3" s="26">
        <f>_xlfn.IFNA(VLOOKUP(D2,Ships[],4,0),"")</f>
        <v>4</v>
      </c>
      <c r="F3" s="25" t="str">
        <f>_xlfn.IFNA(VLOOKUP(D2,Ships[],3,0),"")&amp;" Salvage"</f>
        <v>25 Salvage</v>
      </c>
      <c r="H3" s="29"/>
      <c r="I3" s="29"/>
      <c r="J3" s="29"/>
      <c r="L3" s="29"/>
      <c r="M3" s="29"/>
      <c r="N3" s="29"/>
      <c r="P3" s="156" t="str">
        <f>IF(N26&gt;79,Data!X40,IF(N26&gt;59,Data!X28,IF(N26&gt;39,Data!X22,Data!X51)))</f>
        <v>Not Just Yet
You keep saving, hoping, waiting. One day, you'll make it out.</v>
      </c>
      <c r="Q3" s="157"/>
      <c r="R3" s="157"/>
      <c r="S3" s="157"/>
      <c r="T3" s="158"/>
    </row>
    <row r="4" spans="2:20" ht="19.5" x14ac:dyDescent="0.3">
      <c r="B4" s="24" t="s">
        <v>204</v>
      </c>
      <c r="C4" s="31">
        <f>_xlfn.IFNA(VLOOKUP(D2,Ships[],5,0),"")</f>
        <v>3</v>
      </c>
      <c r="D4" s="22"/>
      <c r="E4" s="23" t="s">
        <v>239</v>
      </c>
      <c r="F4" s="32">
        <v>0</v>
      </c>
      <c r="H4" s="29"/>
      <c r="I4" s="29"/>
      <c r="J4" s="29"/>
      <c r="L4" s="29"/>
      <c r="M4" s="29"/>
      <c r="N4" s="29"/>
      <c r="P4" s="156"/>
      <c r="Q4" s="157"/>
      <c r="R4" s="157"/>
      <c r="S4" s="157"/>
      <c r="T4" s="158"/>
    </row>
    <row r="5" spans="2:20" ht="19.5" x14ac:dyDescent="0.3">
      <c r="B5" s="24" t="s">
        <v>205</v>
      </c>
      <c r="C5" s="31">
        <f>_xlfn.IFNA(VLOOKUP(D2,Ships[],6,0),"")</f>
        <v>1</v>
      </c>
      <c r="D5" s="22"/>
      <c r="E5" s="23" t="s">
        <v>242</v>
      </c>
      <c r="F5" s="28" t="s">
        <v>244</v>
      </c>
      <c r="H5" s="29"/>
      <c r="I5" s="29"/>
      <c r="J5" s="29"/>
      <c r="L5" s="29"/>
      <c r="M5" s="29"/>
      <c r="N5" s="29"/>
      <c r="P5" s="156"/>
      <c r="Q5" s="157"/>
      <c r="R5" s="157"/>
      <c r="S5" s="157"/>
      <c r="T5" s="158"/>
    </row>
    <row r="6" spans="2:20" ht="19.5" x14ac:dyDescent="0.3">
      <c r="B6" s="24" t="s">
        <v>206</v>
      </c>
      <c r="C6" s="31">
        <f>_xlfn.IFNA(VLOOKUP(D2,Ships[],7,0),"")</f>
        <v>0</v>
      </c>
      <c r="D6" s="2"/>
      <c r="E6" s="2"/>
      <c r="F6" s="2"/>
      <c r="H6" s="29"/>
      <c r="I6" s="29"/>
      <c r="J6" s="29"/>
      <c r="L6" s="29"/>
      <c r="M6" s="29"/>
      <c r="N6" s="29"/>
      <c r="P6" s="156"/>
      <c r="Q6" s="157"/>
      <c r="R6" s="157"/>
      <c r="S6" s="157"/>
      <c r="T6" s="158"/>
    </row>
    <row r="7" spans="2:20" ht="19.5" x14ac:dyDescent="0.3">
      <c r="B7" s="24" t="s">
        <v>207</v>
      </c>
      <c r="C7" s="31">
        <f>_xlfn.IFNA(VLOOKUP(D2,Ships[],8,0),"")</f>
        <v>0</v>
      </c>
      <c r="D7" s="2"/>
      <c r="E7" s="2"/>
      <c r="F7" s="2"/>
      <c r="H7" s="29"/>
      <c r="I7" s="29"/>
      <c r="J7" s="29"/>
      <c r="L7" s="29"/>
      <c r="M7" s="29"/>
      <c r="N7" s="29"/>
      <c r="P7" s="156"/>
      <c r="Q7" s="157"/>
      <c r="R7" s="157"/>
      <c r="S7" s="157"/>
      <c r="T7" s="158"/>
    </row>
    <row r="8" spans="2:20" ht="19.5" x14ac:dyDescent="0.3">
      <c r="B8" s="24" t="s">
        <v>241</v>
      </c>
      <c r="C8" s="31">
        <f>_xlfn.IFNA(VLOOKUP(D2,Ships[],9,0),"")</f>
        <v>0</v>
      </c>
      <c r="D8" s="31">
        <f>_xlfn.IFNA(VLOOKUP(D2,Ships[],10,0),"")</f>
        <v>0</v>
      </c>
      <c r="E8" s="31">
        <f>_xlfn.IFNA(VLOOKUP(D2,Ships[],11,0),"")</f>
        <v>0</v>
      </c>
      <c r="F8" s="31">
        <f>_xlfn.IFNA(VLOOKUP(D2,Ships[],12,0),"")</f>
        <v>0</v>
      </c>
      <c r="H8" s="29"/>
      <c r="I8" s="29"/>
      <c r="J8" s="29"/>
      <c r="L8" s="29"/>
      <c r="M8" s="29"/>
      <c r="N8" s="29"/>
      <c r="P8" s="156"/>
      <c r="Q8" s="157"/>
      <c r="R8" s="157"/>
      <c r="S8" s="157"/>
      <c r="T8" s="158"/>
    </row>
    <row r="9" spans="2:20" ht="45" customHeight="1" x14ac:dyDescent="0.25">
      <c r="B9" s="146" t="str">
        <f>_xlfn.IFNA(VLOOKUP(D2,Ships[],13,0),"")</f>
        <v xml:space="preserve">Tug crews may clear a Level across multiple entries, but each return counts as a new job with full ACR. This represents the expected cost of working without adequate ship support. </v>
      </c>
      <c r="C9" s="146"/>
      <c r="D9" s="146"/>
      <c r="E9" s="146"/>
      <c r="F9" s="146"/>
      <c r="H9" s="29"/>
      <c r="I9" s="29"/>
      <c r="J9" s="29"/>
      <c r="L9" s="29"/>
      <c r="M9" s="29"/>
      <c r="N9" s="29"/>
      <c r="P9" s="156"/>
      <c r="Q9" s="157"/>
      <c r="R9" s="157"/>
      <c r="S9" s="157"/>
      <c r="T9" s="158"/>
    </row>
    <row r="10" spans="2:20" x14ac:dyDescent="0.25">
      <c r="H10" s="29"/>
      <c r="I10" s="29"/>
      <c r="J10" s="29"/>
      <c r="L10" s="29"/>
      <c r="M10" s="29"/>
      <c r="N10" s="29"/>
    </row>
    <row r="11" spans="2:20" x14ac:dyDescent="0.25">
      <c r="H11" s="29"/>
      <c r="I11" s="29"/>
      <c r="J11" s="29"/>
      <c r="L11" s="29"/>
      <c r="M11" s="29"/>
      <c r="N11" s="29"/>
    </row>
    <row r="12" spans="2:20" ht="19.5" x14ac:dyDescent="0.3">
      <c r="B12" s="144" t="s">
        <v>270</v>
      </c>
      <c r="C12" s="144"/>
      <c r="D12" s="144"/>
      <c r="E12" s="144"/>
      <c r="F12" s="144"/>
      <c r="H12" s="29"/>
      <c r="I12" s="29"/>
      <c r="J12" s="29"/>
      <c r="L12" s="29"/>
      <c r="M12" s="29"/>
      <c r="N12" s="29"/>
    </row>
    <row r="13" spans="2:20" ht="15.75" x14ac:dyDescent="0.25">
      <c r="B13" s="38" t="s">
        <v>271</v>
      </c>
      <c r="C13" s="39" t="s">
        <v>272</v>
      </c>
      <c r="D13" s="162" t="s">
        <v>273</v>
      </c>
      <c r="E13" s="162"/>
      <c r="F13" s="162"/>
      <c r="H13" s="29"/>
      <c r="I13" s="29"/>
      <c r="J13" s="29"/>
      <c r="L13" s="29"/>
      <c r="M13" s="29"/>
      <c r="N13" s="29"/>
    </row>
    <row r="14" spans="2:20" x14ac:dyDescent="0.25">
      <c r="B14" s="21"/>
      <c r="C14" s="4"/>
      <c r="D14" s="155" t="str">
        <f>_xlfn.IFNA(VLOOKUP(B14,Items[],2,0),"")</f>
        <v/>
      </c>
      <c r="E14" s="155"/>
      <c r="F14" s="155"/>
      <c r="H14" s="29"/>
      <c r="I14" s="29"/>
      <c r="J14" s="29"/>
      <c r="L14" s="29"/>
      <c r="M14" s="29"/>
      <c r="N14" s="29"/>
    </row>
    <row r="15" spans="2:20" x14ac:dyDescent="0.25">
      <c r="B15" s="21"/>
      <c r="C15" s="40"/>
      <c r="D15" s="155" t="str">
        <f>_xlfn.IFNA(VLOOKUP(B15,Items[],2,0),"")</f>
        <v/>
      </c>
      <c r="E15" s="155"/>
      <c r="F15" s="155"/>
      <c r="H15" s="29"/>
      <c r="I15" s="29"/>
      <c r="J15" s="29"/>
      <c r="L15" s="29"/>
      <c r="M15" s="29"/>
      <c r="N15" s="29"/>
    </row>
    <row r="16" spans="2:20" x14ac:dyDescent="0.25">
      <c r="B16" s="21"/>
      <c r="C16" s="40"/>
      <c r="D16" s="155" t="str">
        <f>_xlfn.IFNA(VLOOKUP(B16,Items[],2,0),"")</f>
        <v/>
      </c>
      <c r="E16" s="155"/>
      <c r="F16" s="155"/>
      <c r="H16" s="29"/>
      <c r="I16" s="29"/>
      <c r="J16" s="29"/>
      <c r="L16" s="29"/>
      <c r="M16" s="29"/>
      <c r="N16" s="29"/>
    </row>
    <row r="17" spans="2:14" x14ac:dyDescent="0.25">
      <c r="B17" s="21"/>
      <c r="C17" s="40"/>
      <c r="D17" s="155" t="str">
        <f>_xlfn.IFNA(VLOOKUP(B17,Items[],2,0),"")</f>
        <v/>
      </c>
      <c r="E17" s="155"/>
      <c r="F17" s="155"/>
      <c r="H17" s="29"/>
      <c r="I17" s="29"/>
      <c r="J17" s="29"/>
      <c r="L17" s="29"/>
      <c r="M17" s="29"/>
      <c r="N17" s="29"/>
    </row>
    <row r="18" spans="2:14" x14ac:dyDescent="0.25">
      <c r="B18" s="21"/>
      <c r="C18" s="40"/>
      <c r="D18" s="155" t="str">
        <f>_xlfn.IFNA(VLOOKUP(B18,Items[],2,0),"")</f>
        <v/>
      </c>
      <c r="E18" s="155"/>
      <c r="F18" s="155"/>
      <c r="H18" s="29"/>
      <c r="I18" s="29"/>
      <c r="J18" s="29"/>
      <c r="L18" s="29"/>
      <c r="M18" s="29"/>
      <c r="N18" s="29"/>
    </row>
    <row r="19" spans="2:14" x14ac:dyDescent="0.25">
      <c r="B19" s="21"/>
      <c r="C19" s="40"/>
      <c r="D19" s="155" t="str">
        <f>_xlfn.IFNA(VLOOKUP(B19,Items[],2,0),"")</f>
        <v/>
      </c>
      <c r="E19" s="155"/>
      <c r="F19" s="155"/>
      <c r="H19" s="29"/>
      <c r="I19" s="29"/>
      <c r="J19" s="29"/>
      <c r="L19" s="29"/>
      <c r="M19" s="29"/>
      <c r="N19" s="29"/>
    </row>
    <row r="20" spans="2:14" x14ac:dyDescent="0.25">
      <c r="B20" s="21"/>
      <c r="C20" s="40"/>
      <c r="D20" s="155" t="str">
        <f>_xlfn.IFNA(VLOOKUP(B20,Items[],2,0),"")</f>
        <v/>
      </c>
      <c r="E20" s="155"/>
      <c r="F20" s="155"/>
      <c r="H20" s="29"/>
      <c r="I20" s="29"/>
      <c r="J20" s="29"/>
      <c r="L20" s="29"/>
      <c r="M20" s="29"/>
      <c r="N20" s="29"/>
    </row>
    <row r="21" spans="2:14" x14ac:dyDescent="0.25">
      <c r="B21" s="21"/>
      <c r="C21" s="40"/>
      <c r="D21" s="155" t="str">
        <f>_xlfn.IFNA(VLOOKUP(B21,Items[],2,0),"")</f>
        <v/>
      </c>
      <c r="E21" s="155"/>
      <c r="F21" s="155"/>
      <c r="H21" s="29"/>
      <c r="I21" s="29"/>
      <c r="J21" s="29"/>
      <c r="L21" s="29"/>
      <c r="M21" s="29"/>
      <c r="N21" s="29"/>
    </row>
    <row r="22" spans="2:14" x14ac:dyDescent="0.25">
      <c r="B22" s="21"/>
      <c r="C22" s="40"/>
      <c r="D22" s="155" t="str">
        <f>_xlfn.IFNA(VLOOKUP(B22,Items[],2,0),"")</f>
        <v/>
      </c>
      <c r="E22" s="155"/>
      <c r="F22" s="155"/>
      <c r="H22" s="29"/>
      <c r="I22" s="29"/>
      <c r="J22" s="29"/>
      <c r="L22" s="29"/>
      <c r="M22" s="29"/>
      <c r="N22" s="29"/>
    </row>
    <row r="23" spans="2:14" x14ac:dyDescent="0.25">
      <c r="B23" s="21"/>
      <c r="C23" s="40"/>
      <c r="D23" s="155" t="str">
        <f>_xlfn.IFNA(VLOOKUP(B23,Items[],2,0),"")</f>
        <v/>
      </c>
      <c r="E23" s="155"/>
      <c r="F23" s="155"/>
      <c r="H23" s="29"/>
      <c r="I23" s="29"/>
      <c r="J23" s="29"/>
      <c r="L23" s="29"/>
      <c r="M23" s="29"/>
      <c r="N23" s="29"/>
    </row>
    <row r="24" spans="2:14" x14ac:dyDescent="0.25">
      <c r="B24" s="21"/>
      <c r="C24" s="40"/>
      <c r="D24" s="155" t="str">
        <f>_xlfn.IFNA(VLOOKUP(B24,Items[],2,0),"")</f>
        <v/>
      </c>
      <c r="E24" s="155"/>
      <c r="F24" s="155"/>
      <c r="H24" s="29"/>
      <c r="I24" s="29"/>
      <c r="J24" s="29"/>
      <c r="L24" s="29"/>
      <c r="M24" s="29"/>
      <c r="N24" s="29"/>
    </row>
    <row r="25" spans="2:14" x14ac:dyDescent="0.25">
      <c r="B25" s="21"/>
      <c r="C25" s="40"/>
      <c r="D25" s="155" t="str">
        <f>_xlfn.IFNA(VLOOKUP(B25,Items[],2,0),"")</f>
        <v/>
      </c>
      <c r="E25" s="155"/>
      <c r="F25" s="155"/>
      <c r="H25" s="29"/>
      <c r="I25" s="29"/>
      <c r="J25" s="29"/>
      <c r="L25" s="29"/>
      <c r="M25" s="29"/>
      <c r="N25" s="29"/>
    </row>
    <row r="26" spans="2:14" ht="15" customHeight="1" x14ac:dyDescent="0.25">
      <c r="I26" s="147" t="s">
        <v>245</v>
      </c>
      <c r="J26" s="149">
        <f>SUM(I3:I25)-SUM(J3:J25)</f>
        <v>0</v>
      </c>
      <c r="L26" s="151" t="s">
        <v>246</v>
      </c>
      <c r="M26" s="152"/>
      <c r="N26" s="149">
        <f>SUM(M3:M25)-SUM(N3:N25)</f>
        <v>0</v>
      </c>
    </row>
    <row r="27" spans="2:14" ht="25.5" customHeight="1" x14ac:dyDescent="0.25">
      <c r="I27" s="148"/>
      <c r="J27" s="150"/>
      <c r="L27" s="153"/>
      <c r="M27" s="154"/>
      <c r="N27" s="150"/>
    </row>
  </sheetData>
  <mergeCells count="24">
    <mergeCell ref="D19:F19"/>
    <mergeCell ref="D20:F20"/>
    <mergeCell ref="D21:F21"/>
    <mergeCell ref="P3:T9"/>
    <mergeCell ref="P2:T2"/>
    <mergeCell ref="B12:F12"/>
    <mergeCell ref="D13:F13"/>
    <mergeCell ref="D14:F14"/>
    <mergeCell ref="H1:J1"/>
    <mergeCell ref="L1:N1"/>
    <mergeCell ref="B2:C3"/>
    <mergeCell ref="B9:F9"/>
    <mergeCell ref="I26:I27"/>
    <mergeCell ref="J26:J27"/>
    <mergeCell ref="N26:N27"/>
    <mergeCell ref="L26:M27"/>
    <mergeCell ref="D15:F15"/>
    <mergeCell ref="D22:F22"/>
    <mergeCell ref="D23:F23"/>
    <mergeCell ref="D24:F24"/>
    <mergeCell ref="D25:F25"/>
    <mergeCell ref="D16:F16"/>
    <mergeCell ref="D17:F17"/>
    <mergeCell ref="D18:F18"/>
  </mergeCells>
  <conditionalFormatting sqref="F4">
    <cfRule type="cellIs" dxfId="15" priority="13" operator="equal">
      <formula>3</formula>
    </cfRule>
    <cfRule type="cellIs" dxfId="14" priority="14" operator="equal">
      <formula>2</formula>
    </cfRule>
  </conditionalFormatting>
  <conditionalFormatting sqref="F5">
    <cfRule type="containsText" dxfId="13" priority="11" operator="containsText" text="No">
      <formula>NOT(ISERROR(SEARCH("No",F5)))</formula>
    </cfRule>
    <cfRule type="containsText" dxfId="12" priority="12" operator="containsText" text="Yes">
      <formula>NOT(ISERROR(SEARCH("Yes",F5)))</formula>
    </cfRule>
  </conditionalFormatting>
  <conditionalFormatting sqref="H13:I13">
    <cfRule type="containsText" dxfId="11" priority="15" operator="containsText" text="Yes">
      <formula>NOT(ISERROR(SEARCH("Yes",H13)))</formula>
    </cfRule>
    <cfRule type="containsText" dxfId="10" priority="16" operator="containsText" text="No">
      <formula>NOT(ISERROR(SEARCH("No",H13)))</formula>
    </cfRule>
  </conditionalFormatting>
  <conditionalFormatting sqref="I3:I25">
    <cfRule type="containsText" dxfId="9" priority="10" operator="containsText" text="*">
      <formula>NOT(ISERROR(SEARCH("*",I3)))</formula>
    </cfRule>
  </conditionalFormatting>
  <conditionalFormatting sqref="J3:J25">
    <cfRule type="containsText" dxfId="8" priority="9" operator="containsText" text="*">
      <formula>NOT(ISERROR(SEARCH("*",J3)))</formula>
    </cfRule>
  </conditionalFormatting>
  <conditionalFormatting sqref="J26:J27">
    <cfRule type="cellIs" dxfId="7" priority="7" operator="greaterThan">
      <formula>0</formula>
    </cfRule>
    <cfRule type="cellIs" dxfId="6" priority="8" operator="lessThan">
      <formula>0</formula>
    </cfRule>
  </conditionalFormatting>
  <conditionalFormatting sqref="L13:M13">
    <cfRule type="containsText" dxfId="5" priority="5" operator="containsText" text="Yes">
      <formula>NOT(ISERROR(SEARCH("Yes",L13)))</formula>
    </cfRule>
    <cfRule type="containsText" dxfId="4" priority="6" operator="containsText" text="No">
      <formula>NOT(ISERROR(SEARCH("No",L13)))</formula>
    </cfRule>
  </conditionalFormatting>
  <conditionalFormatting sqref="M3:M25">
    <cfRule type="containsText" dxfId="3" priority="4" operator="containsText" text="*">
      <formula>NOT(ISERROR(SEARCH("*",M3)))</formula>
    </cfRule>
  </conditionalFormatting>
  <conditionalFormatting sqref="N3:N25">
    <cfRule type="containsText" dxfId="2" priority="3" operator="containsText" text="*">
      <formula>NOT(ISERROR(SEARCH("*",N3)))</formula>
    </cfRule>
  </conditionalFormatting>
  <conditionalFormatting sqref="N26:N27">
    <cfRule type="cellIs" dxfId="1" priority="1" operator="greaterThan">
      <formula>0</formula>
    </cfRule>
    <cfRule type="cellIs" dxfId="0" priority="2" operator="lessThan">
      <formula>0</formula>
    </cfRule>
  </conditionalFormatting>
  <dataValidations count="2">
    <dataValidation type="list" allowBlank="1" showInputMessage="1" showErrorMessage="1" sqref="H13 F5 L13" xr:uid="{32877308-8383-4554-84C4-ABFC5FFE5457}">
      <formula1>"Yes,No"</formula1>
    </dataValidation>
    <dataValidation type="list" allowBlank="1" showInputMessage="1" showErrorMessage="1" sqref="F4" xr:uid="{A171ECE7-C448-42E6-98C4-7601B88FBCD7}">
      <formula1>"0,1,2,3"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F94C16D-C76E-428A-AE2C-4770C4B83714}">
          <x14:formula1>
            <xm:f>Data!$G$22:$G$24</xm:f>
          </x14:formula1>
          <xm:sqref>D2</xm:sqref>
        </x14:dataValidation>
        <x14:dataValidation type="list" allowBlank="1" showInputMessage="1" showErrorMessage="1" xr:uid="{1C688BF5-C181-4900-AE09-6383F8DC706B}">
          <x14:formula1>
            <xm:f>Data!$D$10:$D$19</xm:f>
          </x14:formula1>
          <xm:sqref>B14:B25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Crew</vt:lpstr>
      <vt:lpstr>Droids</vt:lpstr>
      <vt:lpstr>Ship Tracker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E Teixeira</dc:creator>
  <cp:lastModifiedBy>Sandro Teixeira</cp:lastModifiedBy>
  <cp:lastPrinted>2026-03-07T00:13:33Z</cp:lastPrinted>
  <dcterms:created xsi:type="dcterms:W3CDTF">2026-03-03T23:39:13Z</dcterms:created>
  <dcterms:modified xsi:type="dcterms:W3CDTF">2026-06-02T00:23:37Z</dcterms:modified>
</cp:coreProperties>
</file>